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21840" activeTab="0"/>
  </bookViews>
  <sheets>
    <sheet name="Performance Décollage APM 30" sheetId="1" r:id="rId1"/>
  </sheets>
  <externalReferences>
    <externalReference r:id="rId4"/>
  </externalReferences>
  <definedNames>
    <definedName name="_xlfn.IFS" hidden="1">#NAME?</definedName>
    <definedName name="Avion">'[1]Avions'!$A$2:$A$4</definedName>
  </definedNames>
  <calcPr fullCalcOnLoad="1"/>
</workbook>
</file>

<file path=xl/sharedStrings.xml><?xml version="1.0" encoding="utf-8"?>
<sst xmlns="http://schemas.openxmlformats.org/spreadsheetml/2006/main" count="129" uniqueCount="55">
  <si>
    <r>
      <rPr>
        <sz val="11"/>
        <rFont val="Calibri"/>
        <family val="1"/>
      </rPr>
      <t>Longueur d'atterrissage (m)</t>
    </r>
  </si>
  <si>
    <r>
      <rPr>
        <sz val="11"/>
        <rFont val="Calibri"/>
        <family val="1"/>
      </rPr>
      <t>Longueur de roulement (m)</t>
    </r>
  </si>
  <si>
    <t>Calcul Majoratio ou minoration avec vent</t>
  </si>
  <si>
    <t>Les cases calculées se colorent en vert ou en rouge en fonction des résultats,</t>
  </si>
  <si>
    <r>
      <rPr>
        <sz val="11"/>
        <rFont val="Calibri"/>
        <family val="1"/>
      </rPr>
      <t>TEMPERATURE ABSOLUE</t>
    </r>
  </si>
  <si>
    <t xml:space="preserve">Si la TODA et LDA sont supérieures à la distance calculée plus 20% pas de problème pour utiliser cette piste.                                                                                                       Si la TODA et où LDA sont inférieures à la distance calculée Vous ne pouvez pas utiliser cette piste soit pour décoller soit pour atterrir voir même les deux. </t>
  </si>
  <si>
    <t>Coef =&gt;</t>
  </si>
  <si>
    <t>Herbe</t>
  </si>
  <si>
    <t xml:space="preserve">Béton </t>
  </si>
  <si>
    <t xml:space="preserve">580 Kg </t>
  </si>
  <si>
    <t>736 Kg</t>
  </si>
  <si>
    <t>580 Kg</t>
  </si>
  <si>
    <t xml:space="preserve">de décollage et d'atterrissage sont réalisés automatiquement en faisant référence aux tableaux du Manuel de vol du F-HBZR. Une majoration de 20% est appliquée pour prendre en compte l'usure et l'état de propreté de l'avion, les erreurs d'estimation de masse, du vent, des températures ect ...... Puis une comparaison est faite. </t>
  </si>
  <si>
    <t>Degrés</t>
  </si>
  <si>
    <t>Ft</t>
  </si>
  <si>
    <t>Kg</t>
  </si>
  <si>
    <t xml:space="preserve">Explication : Cette feuille est une aide pour calculer la distance de décollage et d'atterrissage en fonction des conditions du jour, les références sont celle de APM30 F-HBZR.    Il faut remplir les cases grises à l'aide de la carte OACI du terrain, la température, le vent et la pression du jour. Le calcul de l'altitude pression du terrain et des distances </t>
  </si>
  <si>
    <t>Calcul de la distance du à la masse de l'avion et à l'altitude pression et la température</t>
  </si>
  <si>
    <t>Calcul de la distance du à la masse de l'avion et à l'altitude pression</t>
  </si>
  <si>
    <t>Calcul de la distance du à la masse de l'avion</t>
  </si>
  <si>
    <r>
      <rPr>
        <sz val="11"/>
        <rFont val="Calibri"/>
        <family val="1"/>
      </rPr>
      <t>ALTITUDES PRESSION (ft)</t>
    </r>
  </si>
  <si>
    <t>Sans vent, ni pente et sur piste en dur. Minorer les valeurs de 25% pour piste en herbe (manuel de vol)</t>
  </si>
  <si>
    <t>5.2.7.1.    Performances d'attérissage piste béton (hélice MT Propeller) extraites du manuel de vol</t>
  </si>
  <si>
    <t xml:space="preserve">Si  LDA &gt;= ATT + 20% </t>
  </si>
  <si>
    <r>
      <rPr>
        <sz val="11"/>
        <rFont val="Calibri"/>
        <family val="1"/>
      </rPr>
      <t>Passage des 15 m (m)</t>
    </r>
  </si>
  <si>
    <t xml:space="preserve">Si  TODA &gt;= DEC + 20% </t>
  </si>
  <si>
    <r>
      <t>Vous devez comparer la distance de décollage à TODA (</t>
    </r>
    <r>
      <rPr>
        <i/>
        <sz val="10"/>
        <rFont val="Arial"/>
        <family val="2"/>
      </rPr>
      <t>Take-off distance available</t>
    </r>
    <r>
      <rPr>
        <sz val="10"/>
        <rFont val="Arial"/>
        <family val="2"/>
      </rPr>
      <t>) et la distance d’atterrissage à LDA (</t>
    </r>
    <r>
      <rPr>
        <i/>
        <sz val="10"/>
        <rFont val="Arial"/>
        <family val="2"/>
      </rPr>
      <t>Landing distance available</t>
    </r>
    <r>
      <rPr>
        <sz val="10"/>
        <rFont val="Arial"/>
        <family val="2"/>
      </rPr>
      <t>) :</t>
    </r>
  </si>
  <si>
    <t>Les calculs ne tiennent pas compte des dénivelés éventuels de la piste. La majoration ou minoration de 25% pour piste en herbe est appliquée dans les calculs</t>
  </si>
  <si>
    <t>DECollage ou ATTerissage 15m</t>
  </si>
  <si>
    <t>ATT + 20%</t>
  </si>
  <si>
    <t>ATT</t>
  </si>
  <si>
    <t>DEC +20%</t>
  </si>
  <si>
    <t>DEC</t>
  </si>
  <si>
    <t>PERFORMANCES DU JOUR</t>
  </si>
  <si>
    <t>= Altitude terrain + (1013 - Pression du jour) X 28</t>
  </si>
  <si>
    <t>Calcul de l'altitude pression du terrain avec 1 hpa = 28 ft</t>
  </si>
  <si>
    <t>Vent kt :</t>
  </si>
  <si>
    <t>T° C :</t>
  </si>
  <si>
    <t>Altitude Terrain en ft</t>
  </si>
  <si>
    <t>Pression du jour Hpa</t>
  </si>
  <si>
    <t>750 Kg</t>
  </si>
  <si>
    <t>LDA</t>
  </si>
  <si>
    <t>TODA</t>
  </si>
  <si>
    <t>Type de piste</t>
  </si>
  <si>
    <t>05</t>
  </si>
  <si>
    <t>N° Piste:</t>
  </si>
  <si>
    <t>Sans vent, ni pente et sur piste en dur. Majorer les valeurs de 25% pour piste en herbe (manuel de vol)</t>
  </si>
  <si>
    <t>LFDW</t>
  </si>
  <si>
    <t>Nom du terrain:</t>
  </si>
  <si>
    <t>MASSE kg :</t>
  </si>
  <si>
    <t>F-HBZR</t>
  </si>
  <si>
    <t>5.2.6.1.    Performances au décollage piste béton (hélice MT Propeller) extraites du manuel de vol</t>
  </si>
  <si>
    <t>PERFORMANCE DECOLLAGE ET ATTERISSAGE AUX CONDITIONS DU JOUR    REMPLIR LES CASES GRISES AVEC LA CARTE VAC DU TERRAIN</t>
  </si>
  <si>
    <t>Attention masse maxi DEC 750 kg et masse maxi ATT 736 kg</t>
  </si>
  <si>
    <t>MASSE à VIDE 453 Kg AVION 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</si>
</sst>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rgb="FF000000"/>
      <name val="Times New Roman"/>
      <family val="1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EBEB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>
        <color rgb="FF000000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 style="thin"/>
      <right/>
      <top style="thin">
        <color rgb="FF000000"/>
      </top>
      <bottom style="thin"/>
    </border>
    <border>
      <left style="thin">
        <color rgb="FF000000"/>
      </left>
      <right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95">
    <xf numFmtId="0" fontId="0" fillId="0" borderId="0" xfId="0" applyFont="1" applyAlignment="1">
      <alignment/>
    </xf>
    <xf numFmtId="0" fontId="42" fillId="0" borderId="0" xfId="49" applyFont="1" applyAlignment="1">
      <alignment horizontal="left" vertical="top"/>
      <protection/>
    </xf>
    <xf numFmtId="0" fontId="42" fillId="0" borderId="0" xfId="49" applyFont="1" applyAlignment="1">
      <alignment horizontal="center" vertical="center"/>
      <protection/>
    </xf>
    <xf numFmtId="0" fontId="42" fillId="0" borderId="0" xfId="49" applyFont="1" applyAlignment="1">
      <alignment horizontal="left" vertical="center"/>
      <protection/>
    </xf>
    <xf numFmtId="0" fontId="42" fillId="0" borderId="0" xfId="49" applyFont="1" applyAlignment="1">
      <alignment horizontal="center" vertical="top"/>
      <protection/>
    </xf>
    <xf numFmtId="0" fontId="42" fillId="0" borderId="0" xfId="49" applyFont="1" applyAlignment="1" quotePrefix="1">
      <alignment horizontal="left" vertical="center"/>
      <protection/>
    </xf>
    <xf numFmtId="1" fontId="42" fillId="0" borderId="0" xfId="49" applyNumberFormat="1" applyFont="1" applyAlignment="1">
      <alignment horizontal="center" vertical="center"/>
      <protection/>
    </xf>
    <xf numFmtId="0" fontId="42" fillId="0" borderId="0" xfId="49" applyFont="1" applyAlignment="1">
      <alignment horizontal="left" vertical="top" wrapText="1" indent="1"/>
      <protection/>
    </xf>
    <xf numFmtId="0" fontId="42" fillId="0" borderId="0" xfId="49" applyFont="1" applyAlignment="1">
      <alignment horizontal="center" vertical="center" wrapText="1"/>
      <protection/>
    </xf>
    <xf numFmtId="1" fontId="42" fillId="0" borderId="0" xfId="49" applyNumberFormat="1" applyFont="1" applyAlignment="1">
      <alignment horizontal="left" vertical="top"/>
      <protection/>
    </xf>
    <xf numFmtId="0" fontId="2" fillId="0" borderId="0" xfId="49" applyFont="1" applyAlignment="1">
      <alignment horizontal="left" vertical="top" wrapText="1" indent="1"/>
      <protection/>
    </xf>
    <xf numFmtId="1" fontId="42" fillId="13" borderId="10" xfId="49" applyNumberFormat="1" applyFont="1" applyFill="1" applyBorder="1" applyAlignment="1">
      <alignment horizontal="center" vertical="center"/>
      <protection/>
    </xf>
    <xf numFmtId="1" fontId="42" fillId="33" borderId="10" xfId="49" applyNumberFormat="1" applyFont="1" applyFill="1" applyBorder="1" applyAlignment="1">
      <alignment horizontal="center" vertical="center"/>
      <protection/>
    </xf>
    <xf numFmtId="0" fontId="42" fillId="0" borderId="10" xfId="49" applyFont="1" applyBorder="1" applyAlignment="1">
      <alignment horizontal="center" vertical="center"/>
      <protection/>
    </xf>
    <xf numFmtId="1" fontId="43" fillId="0" borderId="10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top" wrapText="1"/>
    </xf>
    <xf numFmtId="164" fontId="43" fillId="0" borderId="10" xfId="0" applyNumberFormat="1" applyFont="1" applyBorder="1" applyAlignment="1">
      <alignment horizontal="center" vertical="center" shrinkToFit="1"/>
    </xf>
    <xf numFmtId="1" fontId="42" fillId="0" borderId="10" xfId="49" applyNumberFormat="1" applyFont="1" applyBorder="1" applyAlignment="1">
      <alignment horizontal="center" vertical="center"/>
      <protection/>
    </xf>
    <xf numFmtId="2" fontId="43" fillId="0" borderId="10" xfId="0" applyNumberFormat="1" applyFont="1" applyBorder="1" applyAlignment="1">
      <alignment horizontal="center" vertical="center" shrinkToFit="1"/>
    </xf>
    <xf numFmtId="0" fontId="2" fillId="0" borderId="0" xfId="49" applyFont="1" applyAlignment="1">
      <alignment horizontal="center" vertical="center"/>
      <protection/>
    </xf>
    <xf numFmtId="164" fontId="42" fillId="0" borderId="0" xfId="49" applyNumberFormat="1" applyFont="1" applyAlignment="1">
      <alignment horizontal="left" vertical="top"/>
      <protection/>
    </xf>
    <xf numFmtId="1" fontId="42" fillId="0" borderId="0" xfId="49" applyNumberFormat="1" applyFont="1" applyAlignment="1">
      <alignment horizontal="left" vertical="center"/>
      <protection/>
    </xf>
    <xf numFmtId="1" fontId="42" fillId="34" borderId="10" xfId="49" applyNumberFormat="1" applyFont="1" applyFill="1" applyBorder="1" applyAlignment="1">
      <alignment horizontal="center" vertical="center"/>
      <protection/>
    </xf>
    <xf numFmtId="0" fontId="2" fillId="34" borderId="10" xfId="49" applyFont="1" applyFill="1" applyBorder="1" applyAlignment="1">
      <alignment horizontal="center" vertical="center"/>
      <protection/>
    </xf>
    <xf numFmtId="0" fontId="42" fillId="13" borderId="0" xfId="49" applyFont="1" applyFill="1" applyAlignment="1">
      <alignment horizontal="center" vertical="center"/>
      <protection/>
    </xf>
    <xf numFmtId="0" fontId="2" fillId="33" borderId="12" xfId="49" applyFont="1" applyFill="1" applyBorder="1" applyAlignment="1">
      <alignment horizontal="center" vertical="center"/>
      <protection/>
    </xf>
    <xf numFmtId="0" fontId="42" fillId="13" borderId="12" xfId="49" applyFont="1" applyFill="1" applyBorder="1" applyAlignment="1">
      <alignment horizontal="center" vertical="center"/>
      <protection/>
    </xf>
    <xf numFmtId="0" fontId="2" fillId="33" borderId="13" xfId="49" applyFont="1" applyFill="1" applyBorder="1" applyAlignment="1">
      <alignment horizontal="center" vertical="center"/>
      <protection/>
    </xf>
    <xf numFmtId="0" fontId="42" fillId="13" borderId="10" xfId="49" applyFont="1" applyFill="1" applyBorder="1" applyAlignment="1">
      <alignment horizontal="center" vertical="center"/>
      <protection/>
    </xf>
    <xf numFmtId="0" fontId="2" fillId="33" borderId="10" xfId="49" applyFont="1" applyFill="1" applyBorder="1" applyAlignment="1">
      <alignment horizontal="center" vertical="center"/>
      <protection/>
    </xf>
    <xf numFmtId="0" fontId="3" fillId="0" borderId="14" xfId="0" applyFont="1" applyBorder="1" applyAlignment="1">
      <alignment horizontal="left" vertical="top" wrapText="1" indent="2"/>
    </xf>
    <xf numFmtId="0" fontId="42" fillId="35" borderId="15" xfId="49" applyFont="1" applyFill="1" applyBorder="1" applyAlignment="1">
      <alignment horizontal="left" vertical="top"/>
      <protection/>
    </xf>
    <xf numFmtId="1" fontId="43" fillId="36" borderId="16" xfId="0" applyNumberFormat="1" applyFont="1" applyFill="1" applyBorder="1" applyAlignment="1">
      <alignment horizontal="left" vertical="center" shrinkToFit="1"/>
    </xf>
    <xf numFmtId="1" fontId="43" fillId="36" borderId="17" xfId="0" applyNumberFormat="1" applyFont="1" applyFill="1" applyBorder="1" applyAlignment="1">
      <alignment horizontal="center" vertical="center" shrinkToFit="1"/>
    </xf>
    <xf numFmtId="1" fontId="43" fillId="36" borderId="15" xfId="0" applyNumberFormat="1" applyFont="1" applyFill="1" applyBorder="1" applyAlignment="1">
      <alignment horizontal="left" vertical="center" shrinkToFit="1"/>
    </xf>
    <xf numFmtId="1" fontId="43" fillId="36" borderId="15" xfId="0" applyNumberFormat="1" applyFont="1" applyFill="1" applyBorder="1" applyAlignment="1">
      <alignment horizontal="center" vertical="center" shrinkToFit="1"/>
    </xf>
    <xf numFmtId="1" fontId="43" fillId="36" borderId="18" xfId="0" applyNumberFormat="1" applyFont="1" applyFill="1" applyBorder="1" applyAlignment="1">
      <alignment horizontal="center" vertical="center" shrinkToFit="1"/>
    </xf>
    <xf numFmtId="1" fontId="43" fillId="36" borderId="19" xfId="0" applyNumberFormat="1" applyFont="1" applyFill="1" applyBorder="1" applyAlignment="1">
      <alignment horizontal="center" vertical="center" shrinkToFit="1"/>
    </xf>
    <xf numFmtId="1" fontId="43" fillId="36" borderId="20" xfId="0" applyNumberFormat="1" applyFont="1" applyFill="1" applyBorder="1" applyAlignment="1">
      <alignment horizontal="center" vertical="center" shrinkToFit="1"/>
    </xf>
    <xf numFmtId="1" fontId="43" fillId="36" borderId="21" xfId="0" applyNumberFormat="1" applyFont="1" applyFill="1" applyBorder="1" applyAlignment="1">
      <alignment horizontal="center" vertical="center" shrinkToFit="1"/>
    </xf>
    <xf numFmtId="0" fontId="42" fillId="0" borderId="22" xfId="49" applyFont="1" applyBorder="1" applyAlignment="1">
      <alignment horizontal="left" vertical="center" wrapText="1" indent="1"/>
      <protection/>
    </xf>
    <xf numFmtId="0" fontId="42" fillId="0" borderId="23" xfId="49" applyFont="1" applyBorder="1" applyAlignment="1">
      <alignment horizontal="left" vertical="center" wrapText="1" indent="1"/>
      <protection/>
    </xf>
    <xf numFmtId="0" fontId="42" fillId="0" borderId="23" xfId="49" applyFont="1" applyBorder="1" applyAlignment="1">
      <alignment horizontal="left" vertical="center"/>
      <protection/>
    </xf>
    <xf numFmtId="0" fontId="4" fillId="0" borderId="24" xfId="49" applyFont="1" applyBorder="1" applyAlignment="1">
      <alignment horizontal="left" vertical="center"/>
      <protection/>
    </xf>
    <xf numFmtId="1" fontId="42" fillId="0" borderId="25" xfId="49" applyNumberFormat="1" applyFont="1" applyBorder="1" applyAlignment="1">
      <alignment horizontal="center" vertical="center"/>
      <protection/>
    </xf>
    <xf numFmtId="0" fontId="42" fillId="0" borderId="26" xfId="49" applyFont="1" applyBorder="1" applyAlignment="1">
      <alignment horizontal="right" vertical="center"/>
      <protection/>
    </xf>
    <xf numFmtId="0" fontId="42" fillId="0" borderId="0" xfId="49" applyFont="1" applyAlignment="1">
      <alignment horizontal="left" vertical="center" wrapText="1" indent="5"/>
      <protection/>
    </xf>
    <xf numFmtId="0" fontId="4" fillId="0" borderId="27" xfId="49" applyFont="1" applyBorder="1" applyAlignment="1">
      <alignment horizontal="left" vertical="center"/>
      <protection/>
    </xf>
    <xf numFmtId="0" fontId="42" fillId="0" borderId="23" xfId="49" applyFont="1" applyBorder="1" applyAlignment="1">
      <alignment horizontal="center" vertical="center"/>
      <protection/>
    </xf>
    <xf numFmtId="1" fontId="43" fillId="0" borderId="28" xfId="0" applyNumberFormat="1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left" vertical="top" wrapText="1"/>
    </xf>
    <xf numFmtId="1" fontId="42" fillId="0" borderId="24" xfId="49" applyNumberFormat="1" applyFont="1" applyBorder="1" applyAlignment="1">
      <alignment horizontal="center" vertical="center"/>
      <protection/>
    </xf>
    <xf numFmtId="0" fontId="42" fillId="0" borderId="10" xfId="49" applyFont="1" applyBorder="1" applyAlignment="1">
      <alignment horizontal="left" vertical="top"/>
      <protection/>
    </xf>
    <xf numFmtId="2" fontId="43" fillId="0" borderId="29" xfId="0" applyNumberFormat="1" applyFont="1" applyBorder="1" applyAlignment="1">
      <alignment horizontal="center" vertical="center" shrinkToFit="1"/>
    </xf>
    <xf numFmtId="2" fontId="43" fillId="0" borderId="30" xfId="0" applyNumberFormat="1" applyFont="1" applyBorder="1" applyAlignment="1">
      <alignment horizontal="center" vertical="center" shrinkToFit="1"/>
    </xf>
    <xf numFmtId="2" fontId="43" fillId="0" borderId="31" xfId="0" applyNumberFormat="1" applyFont="1" applyBorder="1" applyAlignment="1">
      <alignment horizontal="center" vertical="center" shrinkToFit="1"/>
    </xf>
    <xf numFmtId="0" fontId="2" fillId="0" borderId="0" xfId="49" applyFont="1" applyAlignment="1">
      <alignment horizontal="left" vertical="center"/>
      <protection/>
    </xf>
    <xf numFmtId="0" fontId="42" fillId="0" borderId="0" xfId="49" applyFont="1" applyAlignment="1">
      <alignment horizontal="right" vertical="center"/>
      <protection/>
    </xf>
    <xf numFmtId="0" fontId="42" fillId="0" borderId="0" xfId="49" applyFont="1" applyAlignment="1">
      <alignment horizontal="right"/>
      <protection/>
    </xf>
    <xf numFmtId="1" fontId="42" fillId="33" borderId="0" xfId="49" applyNumberFormat="1" applyFont="1" applyFill="1" applyAlignment="1" applyProtection="1">
      <alignment horizontal="center" vertical="center"/>
      <protection locked="0"/>
    </xf>
    <xf numFmtId="1" fontId="43" fillId="0" borderId="30" xfId="0" applyNumberFormat="1" applyFont="1" applyBorder="1" applyAlignment="1">
      <alignment horizontal="center" vertical="center" shrinkToFit="1"/>
    </xf>
    <xf numFmtId="0" fontId="42" fillId="13" borderId="32" xfId="49" applyFont="1" applyFill="1" applyBorder="1" applyAlignment="1">
      <alignment horizontal="center" vertical="center"/>
      <protection/>
    </xf>
    <xf numFmtId="0" fontId="2" fillId="33" borderId="33" xfId="49" applyFont="1" applyFill="1" applyBorder="1" applyAlignment="1">
      <alignment horizontal="center" vertical="center"/>
      <protection/>
    </xf>
    <xf numFmtId="0" fontId="2" fillId="33" borderId="32" xfId="49" applyFont="1" applyFill="1" applyBorder="1" applyAlignment="1">
      <alignment horizontal="center" vertical="center"/>
      <protection/>
    </xf>
    <xf numFmtId="0" fontId="42" fillId="33" borderId="0" xfId="49" applyFont="1" applyFill="1" applyAlignment="1" applyProtection="1">
      <alignment horizontal="center" vertical="center"/>
      <protection locked="0"/>
    </xf>
    <xf numFmtId="49" fontId="42" fillId="33" borderId="0" xfId="49" applyNumberFormat="1" applyFont="1" applyFill="1" applyAlignment="1" applyProtection="1" quotePrefix="1">
      <alignment horizontal="center" vertical="center"/>
      <protection locked="0"/>
    </xf>
    <xf numFmtId="2" fontId="42" fillId="0" borderId="0" xfId="49" applyNumberFormat="1" applyFont="1" applyAlignment="1">
      <alignment horizontal="center" vertical="top"/>
      <protection/>
    </xf>
    <xf numFmtId="1" fontId="42" fillId="0" borderId="0" xfId="49" applyNumberFormat="1" applyFont="1" applyAlignment="1">
      <alignment horizontal="center" vertical="top"/>
      <protection/>
    </xf>
    <xf numFmtId="0" fontId="44" fillId="0" borderId="0" xfId="49" applyFont="1" applyAlignment="1">
      <alignment horizontal="center" vertical="center"/>
      <protection/>
    </xf>
    <xf numFmtId="1" fontId="43" fillId="36" borderId="17" xfId="0" applyNumberFormat="1" applyFont="1" applyFill="1" applyBorder="1" applyAlignment="1">
      <alignment horizontal="center" vertical="center" shrinkToFit="1"/>
    </xf>
    <xf numFmtId="1" fontId="43" fillId="36" borderId="15" xfId="0" applyNumberFormat="1" applyFont="1" applyFill="1" applyBorder="1" applyAlignment="1">
      <alignment horizontal="center" vertical="center" shrinkToFit="1"/>
    </xf>
    <xf numFmtId="0" fontId="26" fillId="0" borderId="0" xfId="0" applyFont="1" applyAlignment="1">
      <alignment horizontal="left" vertical="top" wrapText="1" indent="2"/>
    </xf>
    <xf numFmtId="0" fontId="26" fillId="0" borderId="34" xfId="0" applyFont="1" applyBorder="1" applyAlignment="1">
      <alignment horizontal="left" vertical="top" wrapText="1" indent="2"/>
    </xf>
    <xf numFmtId="0" fontId="26" fillId="0" borderId="14" xfId="0" applyFont="1" applyBorder="1" applyAlignment="1">
      <alignment horizontal="left" vertical="top" wrapText="1" indent="2"/>
    </xf>
    <xf numFmtId="0" fontId="3" fillId="36" borderId="35" xfId="0" applyFont="1" applyFill="1" applyBorder="1" applyAlignment="1">
      <alignment horizontal="center" vertical="center" textRotation="90" wrapText="1"/>
    </xf>
    <xf numFmtId="0" fontId="3" fillId="36" borderId="36" xfId="0" applyFont="1" applyFill="1" applyBorder="1" applyAlignment="1">
      <alignment horizontal="center" vertical="center" textRotation="90" wrapText="1"/>
    </xf>
    <xf numFmtId="0" fontId="3" fillId="36" borderId="30" xfId="0" applyFont="1" applyFill="1" applyBorder="1" applyAlignment="1">
      <alignment horizontal="center" vertical="center" textRotation="90" wrapText="1"/>
    </xf>
    <xf numFmtId="1" fontId="43" fillId="36" borderId="35" xfId="0" applyNumberFormat="1" applyFont="1" applyFill="1" applyBorder="1" applyAlignment="1">
      <alignment horizontal="center" vertical="center" shrinkToFit="1"/>
    </xf>
    <xf numFmtId="1" fontId="43" fillId="36" borderId="30" xfId="0" applyNumberFormat="1" applyFont="1" applyFill="1" applyBorder="1" applyAlignment="1">
      <alignment horizontal="center" vertical="center" shrinkToFit="1"/>
    </xf>
    <xf numFmtId="0" fontId="3" fillId="36" borderId="37" xfId="0" applyFont="1" applyFill="1" applyBorder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3" fillId="36" borderId="34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center" wrapText="1"/>
    </xf>
    <xf numFmtId="0" fontId="3" fillId="36" borderId="0" xfId="0" applyFont="1" applyFill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1" fontId="43" fillId="36" borderId="38" xfId="0" applyNumberFormat="1" applyFont="1" applyFill="1" applyBorder="1" applyAlignment="1">
      <alignment horizontal="center" vertical="center" shrinkToFit="1"/>
    </xf>
    <xf numFmtId="1" fontId="43" fillId="36" borderId="39" xfId="0" applyNumberFormat="1" applyFont="1" applyFill="1" applyBorder="1" applyAlignment="1">
      <alignment horizontal="center" vertical="center" shrinkToFit="1"/>
    </xf>
    <xf numFmtId="1" fontId="43" fillId="36" borderId="40" xfId="0" applyNumberFormat="1" applyFont="1" applyFill="1" applyBorder="1" applyAlignment="1">
      <alignment horizontal="center" vertical="center" shrinkToFit="1"/>
    </xf>
    <xf numFmtId="1" fontId="43" fillId="36" borderId="41" xfId="0" applyNumberFormat="1" applyFont="1" applyFill="1" applyBorder="1" applyAlignment="1">
      <alignment horizontal="center" vertical="center" shrinkToFit="1"/>
    </xf>
    <xf numFmtId="1" fontId="43" fillId="36" borderId="42" xfId="0" applyNumberFormat="1" applyFont="1" applyFill="1" applyBorder="1" applyAlignment="1">
      <alignment horizontal="center" vertical="center" shrinkToFit="1"/>
    </xf>
    <xf numFmtId="0" fontId="42" fillId="0" borderId="0" xfId="49" applyFont="1" applyAlignment="1">
      <alignment horizontal="center" vertical="center"/>
      <protection/>
    </xf>
    <xf numFmtId="0" fontId="42" fillId="0" borderId="0" xfId="49" applyFont="1" applyAlignment="1">
      <alignment horizontal="left" vertical="top"/>
      <protection/>
    </xf>
    <xf numFmtId="0" fontId="2" fillId="0" borderId="0" xfId="49" applyFont="1" applyAlignment="1">
      <alignment horizontal="center" vertical="center"/>
      <protection/>
    </xf>
    <xf numFmtId="0" fontId="42" fillId="0" borderId="0" xfId="49" applyFont="1" applyAlignment="1">
      <alignment horizontal="left" vertical="center" wrapText="1"/>
      <protection/>
    </xf>
    <xf numFmtId="0" fontId="42" fillId="0" borderId="0" xfId="49" applyFont="1" applyAlignment="1">
      <alignment horizontal="left" vertical="top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3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1">
    <dxf>
      <fill>
        <patternFill>
          <bgColor rgb="FFFF5050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99FF66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IATION\FEUILLE%20DE%20NAV\LogdeNav%202.0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nctionnement"/>
      <sheetName val="BRIVE"/>
      <sheetName val="BISCAROSSE"/>
      <sheetName val="SOULAC"/>
      <sheetName val="CHATEAUROUX"/>
      <sheetName val="COUHE"/>
      <sheetName val="POITIERS"/>
      <sheetName val="Log Vierge"/>
      <sheetName val="Log Modifiable"/>
      <sheetName val="Performance Décollage dr400"/>
      <sheetName val="Avions"/>
    </sheetNames>
    <sheetDataSet>
      <sheetData sheetId="10">
        <row r="2">
          <cell r="A2" t="str">
            <v>F-HBZR</v>
          </cell>
        </row>
        <row r="3">
          <cell r="A3" t="str">
            <v>F-BVDJ</v>
          </cell>
        </row>
        <row r="4">
          <cell r="A4" t="str">
            <v>F-BSVY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96"/>
  <sheetViews>
    <sheetView tabSelected="1" zoomScale="115" zoomScaleNormal="115" zoomScalePageLayoutView="0" workbookViewId="0" topLeftCell="A1">
      <selection activeCell="D3" sqref="D3"/>
    </sheetView>
  </sheetViews>
  <sheetFormatPr defaultColWidth="11.421875" defaultRowHeight="24.75" customHeight="1"/>
  <cols>
    <col min="1" max="1" width="30.7109375" style="1" customWidth="1"/>
    <col min="2" max="2" width="9.7109375" style="2" customWidth="1"/>
    <col min="3" max="3" width="22.7109375" style="1" customWidth="1"/>
    <col min="4" max="4" width="10.7109375" style="2" customWidth="1"/>
    <col min="5" max="5" width="23.7109375" style="1" customWidth="1"/>
    <col min="6" max="8" width="10.7109375" style="2" customWidth="1"/>
    <col min="9" max="9" width="11.421875" style="1" customWidth="1"/>
    <col min="10" max="10" width="11.8515625" style="1" customWidth="1"/>
    <col min="11" max="11" width="5.7109375" style="1" customWidth="1"/>
    <col min="12" max="12" width="3.8515625" style="1" bestFit="1" customWidth="1"/>
    <col min="13" max="13" width="26.8515625" style="1" bestFit="1" customWidth="1"/>
    <col min="14" max="14" width="6.8515625" style="2" bestFit="1" customWidth="1"/>
    <col min="15" max="15" width="7.421875" style="2" bestFit="1" customWidth="1"/>
    <col min="16" max="16" width="6.8515625" style="2" bestFit="1" customWidth="1"/>
    <col min="17" max="17" width="7.421875" style="2" bestFit="1" customWidth="1"/>
    <col min="18" max="18" width="6.8515625" style="2" bestFit="1" customWidth="1"/>
    <col min="19" max="19" width="7.421875" style="2" bestFit="1" customWidth="1"/>
    <col min="20" max="20" width="6.8515625" style="2" bestFit="1" customWidth="1"/>
    <col min="21" max="21" width="7.421875" style="2" bestFit="1" customWidth="1"/>
    <col min="22" max="22" width="6.8515625" style="2" bestFit="1" customWidth="1"/>
    <col min="23" max="23" width="7.421875" style="2" bestFit="1" customWidth="1"/>
    <col min="24" max="24" width="7.7109375" style="2" customWidth="1"/>
    <col min="25" max="25" width="7.7109375" style="1" hidden="1" customWidth="1"/>
    <col min="26" max="26" width="7.7109375" style="2" hidden="1" customWidth="1"/>
    <col min="27" max="56" width="7.7109375" style="1" hidden="1" customWidth="1"/>
    <col min="57" max="60" width="11.421875" style="1" hidden="1" customWidth="1"/>
    <col min="61" max="66" width="11.421875" style="1" customWidth="1"/>
    <col min="67" max="16384" width="11.421875" style="1" customWidth="1"/>
  </cols>
  <sheetData>
    <row r="1" spans="1:60" ht="24" customHeight="1">
      <c r="A1" s="90" t="s">
        <v>52</v>
      </c>
      <c r="B1" s="90"/>
      <c r="C1" s="90"/>
      <c r="D1" s="90"/>
      <c r="E1" s="90"/>
      <c r="F1" s="90"/>
      <c r="G1" s="90"/>
      <c r="H1" s="90"/>
      <c r="I1" s="90"/>
      <c r="Z1" s="2">
        <v>-5</v>
      </c>
      <c r="AA1" s="2">
        <v>-4</v>
      </c>
      <c r="AB1" s="2">
        <v>-3</v>
      </c>
      <c r="AC1" s="2">
        <v>-2</v>
      </c>
      <c r="AD1" s="67">
        <v>0</v>
      </c>
      <c r="AE1" s="67">
        <v>1</v>
      </c>
      <c r="AF1" s="67">
        <v>2</v>
      </c>
      <c r="AG1" s="67">
        <v>3</v>
      </c>
      <c r="AH1" s="67">
        <v>4</v>
      </c>
      <c r="AI1" s="67">
        <v>5</v>
      </c>
      <c r="AJ1" s="67">
        <v>6</v>
      </c>
      <c r="AK1" s="67">
        <v>7</v>
      </c>
      <c r="AL1" s="67">
        <v>8</v>
      </c>
      <c r="AM1" s="67">
        <v>9</v>
      </c>
      <c r="AN1" s="67">
        <v>10</v>
      </c>
      <c r="AO1" s="67">
        <v>11</v>
      </c>
      <c r="AP1" s="67">
        <v>12</v>
      </c>
      <c r="AQ1" s="67">
        <v>13</v>
      </c>
      <c r="AR1" s="67">
        <v>14</v>
      </c>
      <c r="AS1" s="67">
        <v>15</v>
      </c>
      <c r="AT1" s="67">
        <v>16</v>
      </c>
      <c r="AU1" s="67">
        <v>17</v>
      </c>
      <c r="AV1" s="67">
        <v>18</v>
      </c>
      <c r="AW1" s="67">
        <v>19</v>
      </c>
      <c r="AX1" s="67">
        <v>20</v>
      </c>
      <c r="AY1" s="67">
        <v>21</v>
      </c>
      <c r="AZ1" s="67">
        <v>22</v>
      </c>
      <c r="BA1" s="67">
        <v>23</v>
      </c>
      <c r="BB1" s="67">
        <v>24</v>
      </c>
      <c r="BC1" s="67">
        <v>25</v>
      </c>
      <c r="BD1" s="67">
        <v>26</v>
      </c>
      <c r="BE1" s="67">
        <v>27</v>
      </c>
      <c r="BF1" s="67">
        <v>28</v>
      </c>
      <c r="BG1" s="67">
        <v>29</v>
      </c>
      <c r="BH1" s="67">
        <v>30</v>
      </c>
    </row>
    <row r="2" spans="1:60" ht="24" customHeight="1">
      <c r="A2" s="2"/>
      <c r="D2" s="68" t="s">
        <v>53</v>
      </c>
      <c r="K2" s="1" t="s">
        <v>51</v>
      </c>
      <c r="Z2" s="4">
        <v>1.2</v>
      </c>
      <c r="AA2" s="4">
        <v>1.15</v>
      </c>
      <c r="AB2" s="4">
        <v>1.1</v>
      </c>
      <c r="AC2" s="4">
        <v>1.05</v>
      </c>
      <c r="AD2" s="66">
        <v>1</v>
      </c>
      <c r="AE2" s="66">
        <f>AD2-0.01</f>
        <v>0.99</v>
      </c>
      <c r="AF2" s="66">
        <f>AE2-0.01</f>
        <v>0.98</v>
      </c>
      <c r="AG2" s="66">
        <f>AF2-0.01</f>
        <v>0.97</v>
      </c>
      <c r="AH2" s="66">
        <f>AG2-0.01</f>
        <v>0.96</v>
      </c>
      <c r="AI2" s="66">
        <f>AH2-0.01</f>
        <v>0.95</v>
      </c>
      <c r="AJ2" s="66">
        <f aca="true" t="shared" si="0" ref="AJ2:AO2">AI2-0.016</f>
        <v>0.9339999999999999</v>
      </c>
      <c r="AK2" s="66">
        <f t="shared" si="0"/>
        <v>0.9179999999999999</v>
      </c>
      <c r="AL2" s="66">
        <f t="shared" si="0"/>
        <v>0.9019999999999999</v>
      </c>
      <c r="AM2" s="66">
        <f t="shared" si="0"/>
        <v>0.8859999999999999</v>
      </c>
      <c r="AN2" s="66">
        <f t="shared" si="0"/>
        <v>0.8699999999999999</v>
      </c>
      <c r="AO2" s="66">
        <f t="shared" si="0"/>
        <v>0.8539999999999999</v>
      </c>
      <c r="AP2" s="66">
        <f>AO2-0.02</f>
        <v>0.8339999999999999</v>
      </c>
      <c r="AQ2" s="66">
        <f>AP2-0.02</f>
        <v>0.8139999999999998</v>
      </c>
      <c r="AR2" s="66">
        <f>AQ2-0.02</f>
        <v>0.7939999999999998</v>
      </c>
      <c r="AS2" s="66">
        <f>AR2-0.02</f>
        <v>0.7739999999999998</v>
      </c>
      <c r="AT2" s="66">
        <f>AS2-0.02</f>
        <v>0.7539999999999998</v>
      </c>
      <c r="AU2" s="66">
        <f aca="true" t="shared" si="1" ref="AU2:AZ2">AT2-0.017</f>
        <v>0.7369999999999998</v>
      </c>
      <c r="AV2" s="66">
        <f t="shared" si="1"/>
        <v>0.7199999999999998</v>
      </c>
      <c r="AW2" s="66">
        <f t="shared" si="1"/>
        <v>0.7029999999999997</v>
      </c>
      <c r="AX2" s="66">
        <f t="shared" si="1"/>
        <v>0.6859999999999997</v>
      </c>
      <c r="AY2" s="66">
        <f t="shared" si="1"/>
        <v>0.6689999999999997</v>
      </c>
      <c r="AZ2" s="66">
        <f t="shared" si="1"/>
        <v>0.6519999999999997</v>
      </c>
      <c r="BA2" s="66">
        <f aca="true" t="shared" si="2" ref="BA2:BH2">AZ2-0.02</f>
        <v>0.6319999999999997</v>
      </c>
      <c r="BB2" s="66">
        <f t="shared" si="2"/>
        <v>0.6119999999999997</v>
      </c>
      <c r="BC2" s="66">
        <f t="shared" si="2"/>
        <v>0.5919999999999996</v>
      </c>
      <c r="BD2" s="66">
        <f t="shared" si="2"/>
        <v>0.5719999999999996</v>
      </c>
      <c r="BE2" s="66">
        <f t="shared" si="2"/>
        <v>0.5519999999999996</v>
      </c>
      <c r="BF2" s="66">
        <f t="shared" si="2"/>
        <v>0.5319999999999996</v>
      </c>
      <c r="BG2" s="66">
        <f t="shared" si="2"/>
        <v>0.5119999999999996</v>
      </c>
      <c r="BH2" s="66">
        <f t="shared" si="2"/>
        <v>0.49199999999999955</v>
      </c>
    </row>
    <row r="3" spans="1:47" ht="24" customHeight="1">
      <c r="A3" s="57" t="s">
        <v>54</v>
      </c>
      <c r="B3" s="2" t="s">
        <v>50</v>
      </c>
      <c r="C3" s="57" t="s">
        <v>49</v>
      </c>
      <c r="D3" s="59">
        <v>750</v>
      </c>
      <c r="E3" s="57" t="s">
        <v>48</v>
      </c>
      <c r="F3" s="64" t="s">
        <v>47</v>
      </c>
      <c r="K3" s="71" t="s">
        <v>46</v>
      </c>
      <c r="L3" s="71"/>
      <c r="M3" s="72"/>
      <c r="N3" s="82" t="s">
        <v>20</v>
      </c>
      <c r="O3" s="83"/>
      <c r="P3" s="83"/>
      <c r="Q3" s="83"/>
      <c r="R3" s="83"/>
      <c r="S3" s="83"/>
      <c r="T3" s="83"/>
      <c r="U3" s="83"/>
      <c r="V3" s="83"/>
      <c r="W3" s="84"/>
      <c r="Y3" s="3" t="s">
        <v>19</v>
      </c>
      <c r="AD3" s="6">
        <f>D3</f>
        <v>750</v>
      </c>
      <c r="AJ3" s="3" t="s">
        <v>18</v>
      </c>
      <c r="AU3" s="3" t="s">
        <v>17</v>
      </c>
    </row>
    <row r="4" spans="11:58" ht="24" customHeight="1">
      <c r="K4" s="73"/>
      <c r="L4" s="73"/>
      <c r="M4" s="73"/>
      <c r="N4" s="85">
        <v>0</v>
      </c>
      <c r="O4" s="86"/>
      <c r="P4" s="87">
        <v>1000</v>
      </c>
      <c r="Q4" s="88"/>
      <c r="R4" s="89">
        <v>2000</v>
      </c>
      <c r="S4" s="88"/>
      <c r="T4" s="89">
        <v>5000</v>
      </c>
      <c r="U4" s="88"/>
      <c r="V4" s="89">
        <v>8000</v>
      </c>
      <c r="W4" s="88"/>
      <c r="Y4" s="69">
        <v>0</v>
      </c>
      <c r="Z4" s="70"/>
      <c r="AA4" s="69">
        <v>1000</v>
      </c>
      <c r="AB4" s="70"/>
      <c r="AC4" s="69">
        <v>2000</v>
      </c>
      <c r="AD4" s="70"/>
      <c r="AE4" s="69">
        <v>5000</v>
      </c>
      <c r="AF4" s="70"/>
      <c r="AG4" s="69">
        <v>8000</v>
      </c>
      <c r="AH4" s="70"/>
      <c r="AJ4" s="33">
        <f>$D$3</f>
        <v>750</v>
      </c>
      <c r="AK4" s="34" t="s">
        <v>15</v>
      </c>
      <c r="AL4" s="33">
        <f>$D$9</f>
        <v>442</v>
      </c>
      <c r="AM4" s="34" t="s">
        <v>14</v>
      </c>
      <c r="AN4" s="33"/>
      <c r="AO4" s="34"/>
      <c r="AP4" s="33"/>
      <c r="AQ4" s="35"/>
      <c r="AR4" s="33"/>
      <c r="AS4" s="35"/>
      <c r="AU4" s="33">
        <f>$D$3</f>
        <v>750</v>
      </c>
      <c r="AV4" s="34" t="s">
        <v>15</v>
      </c>
      <c r="AW4" s="33">
        <f>$D$9</f>
        <v>442</v>
      </c>
      <c r="AX4" s="32" t="s">
        <v>14</v>
      </c>
      <c r="AY4" s="33">
        <f>$F$7</f>
        <v>15</v>
      </c>
      <c r="AZ4" s="32" t="s">
        <v>13</v>
      </c>
      <c r="BA4" s="31"/>
      <c r="BF4" s="6"/>
    </row>
    <row r="5" spans="1:63" ht="24" customHeight="1">
      <c r="A5" s="57" t="s">
        <v>45</v>
      </c>
      <c r="B5" s="65" t="s">
        <v>44</v>
      </c>
      <c r="C5" s="57" t="s">
        <v>43</v>
      </c>
      <c r="D5" s="64" t="s">
        <v>7</v>
      </c>
      <c r="E5" s="57" t="s">
        <v>42</v>
      </c>
      <c r="F5" s="59">
        <v>740</v>
      </c>
      <c r="G5" s="57" t="s">
        <v>41</v>
      </c>
      <c r="H5" s="59">
        <v>660</v>
      </c>
      <c r="N5" s="13" t="s">
        <v>40</v>
      </c>
      <c r="O5" s="13" t="s">
        <v>9</v>
      </c>
      <c r="P5" s="13" t="s">
        <v>40</v>
      </c>
      <c r="Q5" s="13" t="s">
        <v>9</v>
      </c>
      <c r="R5" s="13" t="s">
        <v>40</v>
      </c>
      <c r="S5" s="13" t="s">
        <v>9</v>
      </c>
      <c r="T5" s="13" t="s">
        <v>40</v>
      </c>
      <c r="U5" s="13" t="s">
        <v>9</v>
      </c>
      <c r="V5" s="13" t="s">
        <v>40</v>
      </c>
      <c r="W5" s="13" t="s">
        <v>9</v>
      </c>
      <c r="Y5" s="63" t="s">
        <v>8</v>
      </c>
      <c r="Z5" s="24" t="s">
        <v>7</v>
      </c>
      <c r="AA5" s="63" t="s">
        <v>8</v>
      </c>
      <c r="AB5" s="24" t="s">
        <v>7</v>
      </c>
      <c r="AC5" s="63" t="s">
        <v>8</v>
      </c>
      <c r="AD5" s="24" t="s">
        <v>7</v>
      </c>
      <c r="AE5" s="63" t="s">
        <v>8</v>
      </c>
      <c r="AF5" s="24" t="s">
        <v>7</v>
      </c>
      <c r="AG5" s="62" t="s">
        <v>8</v>
      </c>
      <c r="AH5" s="61" t="s">
        <v>7</v>
      </c>
      <c r="AJ5" s="25" t="s">
        <v>8</v>
      </c>
      <c r="AK5" s="24" t="s">
        <v>7</v>
      </c>
      <c r="AL5" s="25"/>
      <c r="AM5" s="24"/>
      <c r="AN5" s="25"/>
      <c r="AO5" s="24"/>
      <c r="AP5" s="25"/>
      <c r="AQ5" s="24"/>
      <c r="AR5" s="27"/>
      <c r="AS5" s="26"/>
      <c r="AU5" s="25" t="s">
        <v>8</v>
      </c>
      <c r="AV5" s="24" t="s">
        <v>7</v>
      </c>
      <c r="AW5" s="23" t="s">
        <v>6</v>
      </c>
      <c r="AX5" s="22">
        <f>IF($F$7&lt;1,($AJ$9-$AJ$7)/20*($F$7+20),$AJ$9-$AJ$7)</f>
        <v>68.20999999999998</v>
      </c>
      <c r="AY5" s="22">
        <f>IF($F$7&lt;1,"0",IF($F$7&lt;16,($AJ$11-$AJ$9)/15*($F$7),$AJ$11-$AJ$9))</f>
        <v>55.20999999999998</v>
      </c>
      <c r="AZ5" s="22" t="str">
        <f>IF($F$7&lt;16,"0",IF($F$7&lt;31,($AJ$13-$AJ$11)/15*($F$7-15),$AJ$13-$AJ$11))</f>
        <v>0</v>
      </c>
      <c r="BA5" s="22" t="str">
        <f>IF($F$7&lt;31,"0",IF($F$7&lt;41,($AJ$15-$AJ$13)/10*($F$7-30),$AJ$13-$AJ$11))</f>
        <v>0</v>
      </c>
      <c r="BF5" s="9"/>
      <c r="BG5" s="20"/>
      <c r="BH5" s="9"/>
      <c r="BI5" s="9"/>
      <c r="BJ5" s="9"/>
      <c r="BK5" s="9"/>
    </row>
    <row r="6" spans="11:62" ht="24" customHeight="1">
      <c r="K6" s="74" t="s">
        <v>4</v>
      </c>
      <c r="L6" s="77">
        <v>-20</v>
      </c>
      <c r="M6" s="50" t="s">
        <v>1</v>
      </c>
      <c r="N6" s="60">
        <v>266</v>
      </c>
      <c r="O6" s="60">
        <v>130</v>
      </c>
      <c r="P6" s="60">
        <v>290</v>
      </c>
      <c r="Q6" s="60">
        <v>141</v>
      </c>
      <c r="R6" s="60">
        <v>316</v>
      </c>
      <c r="S6" s="60">
        <v>154</v>
      </c>
      <c r="T6" s="60">
        <v>417</v>
      </c>
      <c r="U6" s="60">
        <v>203</v>
      </c>
      <c r="V6" s="60">
        <v>567</v>
      </c>
      <c r="W6" s="60">
        <v>276</v>
      </c>
      <c r="Y6" s="53">
        <f>(N7-O7)/170</f>
        <v>1.1058823529411765</v>
      </c>
      <c r="Z6" s="13"/>
      <c r="AA6" s="53">
        <f>(P7-Q7)/170</f>
        <v>1.2117647058823529</v>
      </c>
      <c r="AB6" s="13"/>
      <c r="AC6" s="55">
        <f>(R7-S7)/170</f>
        <v>1.3176470588235294</v>
      </c>
      <c r="AE6" s="54">
        <f>(T7-U7)/170</f>
        <v>1.7470588235294118</v>
      </c>
      <c r="AG6" s="53">
        <f>(V7-W7)/170</f>
        <v>2.3823529411764706</v>
      </c>
      <c r="AH6" s="52"/>
      <c r="AJ6" s="14">
        <f>IF($D$9&lt;1001,((AA7-Y7)/1000)*$D$9,AA7-Y7)</f>
        <v>14.586</v>
      </c>
      <c r="AK6" s="17"/>
      <c r="AL6" s="14" t="str">
        <f>IF($D$9&lt;1001,"0",IF(AND($D$9&gt;1000,$D$9&lt;2001),((AC7-AA7)/1000)*($D$9-1000),AC7-AA7))</f>
        <v>0</v>
      </c>
      <c r="AM6" s="17"/>
      <c r="AN6" s="14" t="str">
        <f>IF($D$9&lt;2001,"0",IF(AND($D$9&gt;2000,$D$9&lt;5001),((AE7-AC7)/3000)*($D$9-2000),AE7-AC7))</f>
        <v>0</v>
      </c>
      <c r="AO6" s="17"/>
      <c r="AP6" s="14" t="str">
        <f>IF($D$9&lt;5001,"0",IF(AND($D$9&gt;5000,$D$9&lt;8001),((AG7-AE7)/3000)*($D$9-5000),AG7-AE7))</f>
        <v>0</v>
      </c>
      <c r="AQ6" s="17"/>
      <c r="AR6" s="16"/>
      <c r="AS6" s="13"/>
      <c r="AU6" s="12">
        <f>AJ7+AX5+AY5+AZ5+BA5</f>
        <v>503.006</v>
      </c>
      <c r="AV6" s="11">
        <f>AU6*1.25</f>
        <v>628.7574999999999</v>
      </c>
      <c r="AW6" s="22"/>
      <c r="AX6" s="22"/>
      <c r="AY6" s="22"/>
      <c r="AZ6" s="22"/>
      <c r="BA6" s="22"/>
      <c r="BF6" s="9"/>
      <c r="BG6" s="20"/>
      <c r="BH6" s="9"/>
      <c r="BI6" s="9"/>
      <c r="BJ6" s="9"/>
    </row>
    <row r="7" spans="1:50" ht="24" customHeight="1">
      <c r="A7" s="57" t="s">
        <v>39</v>
      </c>
      <c r="B7" s="59">
        <v>1013</v>
      </c>
      <c r="C7" s="57" t="s">
        <v>38</v>
      </c>
      <c r="D7" s="59">
        <v>442</v>
      </c>
      <c r="E7" s="57" t="s">
        <v>37</v>
      </c>
      <c r="F7" s="59">
        <v>15</v>
      </c>
      <c r="G7" s="57" t="s">
        <v>36</v>
      </c>
      <c r="H7" s="59">
        <v>0</v>
      </c>
      <c r="K7" s="75"/>
      <c r="L7" s="78"/>
      <c r="M7" s="50" t="s">
        <v>24</v>
      </c>
      <c r="N7" s="49">
        <v>365</v>
      </c>
      <c r="O7" s="49">
        <v>177</v>
      </c>
      <c r="P7" s="49">
        <v>398</v>
      </c>
      <c r="Q7" s="49">
        <v>192</v>
      </c>
      <c r="R7" s="49">
        <v>434</v>
      </c>
      <c r="S7" s="49">
        <v>210</v>
      </c>
      <c r="T7" s="49">
        <v>575</v>
      </c>
      <c r="U7" s="49">
        <v>278</v>
      </c>
      <c r="V7" s="49">
        <v>784</v>
      </c>
      <c r="W7" s="49">
        <v>379</v>
      </c>
      <c r="Y7" s="12">
        <f>O7+(Y6*($D$3-580))</f>
        <v>365</v>
      </c>
      <c r="Z7" s="11">
        <f>Y7*1.25</f>
        <v>456.25</v>
      </c>
      <c r="AA7" s="12">
        <f>Q7+(AA6*($D$3-580))</f>
        <v>398</v>
      </c>
      <c r="AB7" s="11">
        <f>AA7*1.25</f>
        <v>497.5</v>
      </c>
      <c r="AC7" s="12">
        <f>S7+(AC6*($D$3-580))</f>
        <v>434</v>
      </c>
      <c r="AD7" s="11">
        <f>AC7*1.25</f>
        <v>542.5</v>
      </c>
      <c r="AE7" s="12">
        <f>U7+(AE6*($D$3-580))</f>
        <v>575</v>
      </c>
      <c r="AF7" s="11">
        <f>AE7*1.25</f>
        <v>718.75</v>
      </c>
      <c r="AG7" s="12">
        <f>W7+(AG6*($D$3-580))</f>
        <v>784</v>
      </c>
      <c r="AH7" s="11">
        <f>AG7*1.25</f>
        <v>980</v>
      </c>
      <c r="AI7" s="2">
        <v>-20</v>
      </c>
      <c r="AJ7" s="12">
        <f>Y7+AJ6+AL6+AN6+AP6</f>
        <v>379.586</v>
      </c>
      <c r="AK7" s="11">
        <f>AJ7*1.25</f>
        <v>474.4825</v>
      </c>
      <c r="AL7" s="12"/>
      <c r="AM7" s="11"/>
      <c r="AN7" s="12"/>
      <c r="AO7" s="11"/>
      <c r="AP7" s="12"/>
      <c r="AQ7" s="11"/>
      <c r="AR7" s="12"/>
      <c r="AS7" s="11"/>
      <c r="AU7" s="21" t="s">
        <v>2</v>
      </c>
      <c r="AV7" s="6"/>
      <c r="AW7" s="6"/>
      <c r="AX7" s="6"/>
    </row>
    <row r="8" spans="11:56" ht="24" customHeight="1">
      <c r="K8" s="75"/>
      <c r="L8" s="77">
        <v>0</v>
      </c>
      <c r="M8" s="50" t="s">
        <v>1</v>
      </c>
      <c r="N8" s="49">
        <v>315</v>
      </c>
      <c r="O8" s="49">
        <v>153</v>
      </c>
      <c r="P8" s="49">
        <v>342</v>
      </c>
      <c r="Q8" s="49">
        <v>167</v>
      </c>
      <c r="R8" s="49">
        <v>373</v>
      </c>
      <c r="S8" s="49">
        <v>182</v>
      </c>
      <c r="T8" s="49">
        <v>493</v>
      </c>
      <c r="U8" s="49">
        <v>240</v>
      </c>
      <c r="V8" s="49">
        <v>671</v>
      </c>
      <c r="W8" s="49">
        <v>327</v>
      </c>
      <c r="Y8" s="53">
        <f>(N9-O9)/170</f>
        <v>1.311764705882353</v>
      </c>
      <c r="Z8" s="13"/>
      <c r="AA8" s="53">
        <f>(P9-Q9)/170</f>
        <v>1.423529411764706</v>
      </c>
      <c r="AB8" s="13"/>
      <c r="AC8" s="55">
        <f>(R9-S9)/170</f>
        <v>1.5529411764705883</v>
      </c>
      <c r="AE8" s="54">
        <f>(T9-U9)/170</f>
        <v>2.0588235294117645</v>
      </c>
      <c r="AG8" s="53">
        <f>(V9-W9)/170</f>
        <v>2.8117647058823527</v>
      </c>
      <c r="AH8" s="52"/>
      <c r="AJ8" s="14">
        <f>IF($D$9&lt;1001,((AA9-Y9)/1000)*$D$9,AA9-Y9)</f>
        <v>16.796</v>
      </c>
      <c r="AK8" s="17"/>
      <c r="AL8" s="14" t="str">
        <f>IF($D$9&lt;1001,"0",IF(AND($D$9&gt;1000,$D$9&lt;2001),((AC9-AA9)/1000)*($D$9-1000),AC9-AA9))</f>
        <v>0</v>
      </c>
      <c r="AM8" s="17"/>
      <c r="AN8" s="14" t="str">
        <f>IF($D$9&lt;2001,"0",IF(AND($D$9&gt;2000,$D$9&lt;5001),((AE9-AC9)/3000)*($D$9-2000),AE9-AC9))</f>
        <v>0</v>
      </c>
      <c r="AO8" s="17"/>
      <c r="AP8" s="14" t="str">
        <f>IF($D$9&lt;5001,"0",IF(AND($D$9&gt;5000,$D$9&lt;8001),((AG9-AE9)/3000)*($D$9-5000),AG9-AE9))</f>
        <v>0</v>
      </c>
      <c r="AQ8" s="17"/>
      <c r="AR8" s="16"/>
      <c r="AS8" s="13"/>
      <c r="AU8" s="12">
        <f>HLOOKUP($H$7,$Z$1:$BH$2,2,0)*AU6</f>
        <v>503.006</v>
      </c>
      <c r="AV8" s="11">
        <f>AU8*1.25</f>
        <v>628.7574999999999</v>
      </c>
      <c r="AY8" s="6"/>
      <c r="AZ8" s="6"/>
      <c r="BA8" s="6"/>
      <c r="BB8" s="6"/>
      <c r="BC8" s="6"/>
      <c r="BD8" s="6"/>
    </row>
    <row r="9" spans="1:63" ht="24" customHeight="1">
      <c r="A9" s="58"/>
      <c r="C9" s="57" t="s">
        <v>35</v>
      </c>
      <c r="D9" s="2">
        <f>IF(D7+((1013-B7)*28)&lt;0,0,D7+((1013-B7)*28))</f>
        <v>442</v>
      </c>
      <c r="E9" s="5" t="s">
        <v>34</v>
      </c>
      <c r="K9" s="75"/>
      <c r="L9" s="78"/>
      <c r="M9" s="50" t="s">
        <v>24</v>
      </c>
      <c r="N9" s="49">
        <v>431</v>
      </c>
      <c r="O9" s="49">
        <v>208</v>
      </c>
      <c r="P9" s="49">
        <v>469</v>
      </c>
      <c r="Q9" s="49">
        <v>227</v>
      </c>
      <c r="R9" s="49">
        <v>512</v>
      </c>
      <c r="S9" s="49">
        <v>248</v>
      </c>
      <c r="T9" s="49">
        <v>678</v>
      </c>
      <c r="U9" s="49">
        <v>328</v>
      </c>
      <c r="V9" s="49">
        <v>925</v>
      </c>
      <c r="W9" s="49">
        <v>447</v>
      </c>
      <c r="Y9" s="12">
        <f>O9+(Y8*($D$3-580))</f>
        <v>431</v>
      </c>
      <c r="Z9" s="11">
        <f>Y9*1.25</f>
        <v>538.75</v>
      </c>
      <c r="AA9" s="12">
        <f>Q9+(AA8*($D$3-580))</f>
        <v>469</v>
      </c>
      <c r="AB9" s="11">
        <f>AA9*1.25</f>
        <v>586.25</v>
      </c>
      <c r="AC9" s="12">
        <f>S9+(AC8*($D$3-580))</f>
        <v>512</v>
      </c>
      <c r="AD9" s="11">
        <f>AC9*1.25</f>
        <v>640</v>
      </c>
      <c r="AE9" s="12">
        <f>U9+(AE8*($D$3-580))</f>
        <v>678</v>
      </c>
      <c r="AF9" s="11">
        <f>AE9*1.25</f>
        <v>847.5</v>
      </c>
      <c r="AG9" s="12">
        <f>W9+(AG8*($D$3-580))</f>
        <v>925</v>
      </c>
      <c r="AH9" s="11">
        <f>AG9*1.25</f>
        <v>1156.25</v>
      </c>
      <c r="AI9" s="2">
        <v>0</v>
      </c>
      <c r="AJ9" s="12">
        <f>Y9+AJ8+AL8+AN8+AP8</f>
        <v>447.796</v>
      </c>
      <c r="AK9" s="11">
        <f>AJ9*1.25</f>
        <v>559.745</v>
      </c>
      <c r="AL9" s="12"/>
      <c r="AM9" s="11"/>
      <c r="AN9" s="12"/>
      <c r="AO9" s="11"/>
      <c r="AP9" s="12"/>
      <c r="AQ9" s="11"/>
      <c r="AR9" s="12"/>
      <c r="AS9" s="11"/>
      <c r="BF9" s="9"/>
      <c r="BG9" s="20"/>
      <c r="BH9" s="9"/>
      <c r="BI9" s="9"/>
      <c r="BJ9" s="9"/>
      <c r="BK9" s="9"/>
    </row>
    <row r="10" spans="11:62" ht="24" customHeight="1">
      <c r="K10" s="75"/>
      <c r="L10" s="77">
        <v>15</v>
      </c>
      <c r="M10" s="50" t="s">
        <v>1</v>
      </c>
      <c r="N10" s="49">
        <v>354</v>
      </c>
      <c r="O10" s="49">
        <v>172</v>
      </c>
      <c r="P10" s="49">
        <v>385</v>
      </c>
      <c r="Q10" s="49">
        <v>187</v>
      </c>
      <c r="R10" s="49">
        <v>420</v>
      </c>
      <c r="S10" s="49">
        <v>204</v>
      </c>
      <c r="T10" s="49">
        <v>554</v>
      </c>
      <c r="U10" s="49">
        <v>270</v>
      </c>
      <c r="V10" s="49">
        <v>754</v>
      </c>
      <c r="W10" s="49">
        <v>367</v>
      </c>
      <c r="Y10" s="53">
        <f>(N11-O11)/170</f>
        <v>1.4705882352941178</v>
      </c>
      <c r="Z10" s="13"/>
      <c r="AA10" s="53">
        <f>(P11-Q11)/170</f>
        <v>1.6</v>
      </c>
      <c r="AB10" s="13"/>
      <c r="AC10" s="55">
        <f>(R11-S11)/170</f>
        <v>1.7470588235294118</v>
      </c>
      <c r="AE10" s="54">
        <f>(T11-U11)/170</f>
        <v>2.3117647058823527</v>
      </c>
      <c r="AG10" s="53">
        <f>(V11-W11)/170</f>
        <v>3.1588235294117646</v>
      </c>
      <c r="AH10" s="52"/>
      <c r="AI10" s="2"/>
      <c r="AJ10" s="14">
        <f>IF($D$9&lt;1001,((AA11-Y11)/1000)*$D$9,AA11-Y11)</f>
        <v>19.006</v>
      </c>
      <c r="AK10" s="17"/>
      <c r="AL10" s="14" t="str">
        <f>IF($D$9&lt;1001,"0",IF(AND($D$9&gt;1000,$D$9&lt;2001),((AC11-AA11)/1000)*($D$9-1000),AC11-AA11))</f>
        <v>0</v>
      </c>
      <c r="AM10" s="17"/>
      <c r="AN10" s="14" t="str">
        <f>IF($D$9&lt;2001,"0",IF(AND($D$9&gt;2000,$D$9&lt;5001),((AE11-AC11)/3000)*($D$9-2000),AE11-AC11))</f>
        <v>0</v>
      </c>
      <c r="AO10" s="17"/>
      <c r="AP10" s="14" t="str">
        <f>IF($D$9&lt;5001,"0",IF(AND($D$9&gt;5000,$D$9&lt;8001),((AG11-AE11)/3000)*($D$9-5000),AG11-AE11))</f>
        <v>0</v>
      </c>
      <c r="AQ10" s="17"/>
      <c r="AR10" s="16"/>
      <c r="AS10" s="13"/>
      <c r="BF10" s="9"/>
      <c r="BG10" s="20"/>
      <c r="BH10" s="9"/>
      <c r="BI10" s="9"/>
      <c r="BJ10" s="9"/>
    </row>
    <row r="11" spans="1:45" ht="24" customHeight="1">
      <c r="A11" s="57" t="s">
        <v>33</v>
      </c>
      <c r="B11" s="2" t="s">
        <v>32</v>
      </c>
      <c r="C11" s="2" t="s">
        <v>31</v>
      </c>
      <c r="D11" s="2" t="s">
        <v>30</v>
      </c>
      <c r="E11" s="2" t="s">
        <v>29</v>
      </c>
      <c r="K11" s="75"/>
      <c r="L11" s="78"/>
      <c r="M11" s="50" t="s">
        <v>24</v>
      </c>
      <c r="N11" s="49">
        <v>484</v>
      </c>
      <c r="O11" s="49">
        <v>234</v>
      </c>
      <c r="P11" s="49">
        <v>527</v>
      </c>
      <c r="Q11" s="49">
        <v>255</v>
      </c>
      <c r="R11" s="49">
        <v>575</v>
      </c>
      <c r="S11" s="49">
        <v>278</v>
      </c>
      <c r="T11" s="49">
        <v>761</v>
      </c>
      <c r="U11" s="49">
        <v>368</v>
      </c>
      <c r="V11" s="49">
        <v>1039</v>
      </c>
      <c r="W11" s="49">
        <v>502</v>
      </c>
      <c r="Y11" s="12">
        <f>O11+(Y10*($D$3-580))</f>
        <v>484</v>
      </c>
      <c r="Z11" s="11">
        <f>Y11*1.25</f>
        <v>605</v>
      </c>
      <c r="AA11" s="12">
        <f>Q11+(AA10*($D$3-580))</f>
        <v>527</v>
      </c>
      <c r="AB11" s="11">
        <f>AA11*1.25</f>
        <v>658.75</v>
      </c>
      <c r="AC11" s="12">
        <f>S11+(AC10*($D$3-580))</f>
        <v>575</v>
      </c>
      <c r="AD11" s="11">
        <f>AC11*1.25</f>
        <v>718.75</v>
      </c>
      <c r="AE11" s="12">
        <f>U11+(AE10*($D$3-580))</f>
        <v>761</v>
      </c>
      <c r="AF11" s="11">
        <f>AE11*1.25</f>
        <v>951.25</v>
      </c>
      <c r="AG11" s="12">
        <f>W11+(AG10*($D$3-580))</f>
        <v>1039</v>
      </c>
      <c r="AH11" s="11">
        <f>AG11*1.25</f>
        <v>1298.75</v>
      </c>
      <c r="AI11" s="2">
        <v>15</v>
      </c>
      <c r="AJ11" s="12">
        <f>Y11+AJ10+AL10+AN10+AP10</f>
        <v>503.006</v>
      </c>
      <c r="AK11" s="11">
        <f>AJ11*1.25</f>
        <v>628.7574999999999</v>
      </c>
      <c r="AL11" s="12"/>
      <c r="AM11" s="11"/>
      <c r="AN11" s="12"/>
      <c r="AO11" s="11"/>
      <c r="AP11" s="12"/>
      <c r="AQ11" s="11"/>
      <c r="AR11" s="12"/>
      <c r="AS11" s="11"/>
    </row>
    <row r="12" spans="1:45" ht="24" customHeight="1">
      <c r="A12" s="57" t="s">
        <v>28</v>
      </c>
      <c r="B12" s="6">
        <f>IF(D5="Herbe",AV8,AU8)</f>
        <v>628.7574999999999</v>
      </c>
      <c r="C12" s="6">
        <f>B12*1.2</f>
        <v>754.5089999999999</v>
      </c>
      <c r="D12" s="6">
        <f>IF(D5="Herbe",AV23,AU23)</f>
        <v>386.4463653846153</v>
      </c>
      <c r="E12" s="6">
        <f>D12*1.2</f>
        <v>463.7356384615384</v>
      </c>
      <c r="K12" s="75"/>
      <c r="L12" s="77">
        <v>30</v>
      </c>
      <c r="M12" s="50" t="s">
        <v>1</v>
      </c>
      <c r="N12" s="49">
        <v>396</v>
      </c>
      <c r="O12" s="49">
        <v>193</v>
      </c>
      <c r="P12" s="49">
        <v>431</v>
      </c>
      <c r="Q12" s="49">
        <v>210</v>
      </c>
      <c r="R12" s="49">
        <v>470</v>
      </c>
      <c r="S12" s="49">
        <v>229</v>
      </c>
      <c r="T12" s="49">
        <v>620</v>
      </c>
      <c r="U12" s="49">
        <v>302</v>
      </c>
      <c r="V12" s="49">
        <v>844</v>
      </c>
      <c r="W12" s="49">
        <v>411</v>
      </c>
      <c r="Y12" s="53">
        <f>(N13-O13)/170</f>
        <v>1.6411764705882352</v>
      </c>
      <c r="Z12" s="13"/>
      <c r="AA12" s="53">
        <f>(P13-Q13)/170</f>
        <v>1.7882352941176471</v>
      </c>
      <c r="AB12" s="13"/>
      <c r="AC12" s="55">
        <f>(R13-S13)/170</f>
        <v>1.9470588235294117</v>
      </c>
      <c r="AE12" s="54">
        <f>(T13-U13)/170</f>
        <v>2.5823529411764707</v>
      </c>
      <c r="AG12" s="53">
        <f>(V13-W13)/170</f>
        <v>3.523529411764706</v>
      </c>
      <c r="AH12" s="52"/>
      <c r="AI12" s="2"/>
      <c r="AJ12" s="14">
        <f>IF($D$9&lt;1001,((AA13-Y13)/1000)*$D$9,AA13-Y13)</f>
        <v>21.216</v>
      </c>
      <c r="AK12" s="17"/>
      <c r="AL12" s="14" t="str">
        <f>IF($D$9&lt;1001,"0",IF(AND($D$9&gt;1000,$D$9&lt;2001),((AC13-AA13)/1000)*($D$9-1000),AC13-AA13))</f>
        <v>0</v>
      </c>
      <c r="AM12" s="17"/>
      <c r="AN12" s="14" t="str">
        <f>IF($D$9&lt;2001,"0",IF(AND($D$9&gt;2000,$D$9&lt;5001),((AE13-AC13)/3000)*($D$9-2000),AE13-AC13))</f>
        <v>0</v>
      </c>
      <c r="AO12" s="17"/>
      <c r="AP12" s="14" t="str">
        <f>IF($D$9&lt;5001,"0",IF(AND($D$9&gt;5000,$D$9&lt;8001),((AG13-AE13)/3000)*($D$9-5000),AG13-AE13))</f>
        <v>0</v>
      </c>
      <c r="AQ12" s="17"/>
      <c r="AR12" s="16"/>
      <c r="AS12" s="13"/>
    </row>
    <row r="13" spans="1:45" ht="24" customHeight="1">
      <c r="A13" s="3" t="s">
        <v>27</v>
      </c>
      <c r="E13" s="3"/>
      <c r="K13" s="75"/>
      <c r="L13" s="78"/>
      <c r="M13" s="50" t="s">
        <v>24</v>
      </c>
      <c r="N13" s="49">
        <v>540</v>
      </c>
      <c r="O13" s="49">
        <v>261</v>
      </c>
      <c r="P13" s="49">
        <v>588</v>
      </c>
      <c r="Q13" s="49">
        <v>284</v>
      </c>
      <c r="R13" s="49">
        <v>642</v>
      </c>
      <c r="S13" s="49">
        <v>311</v>
      </c>
      <c r="T13" s="49">
        <v>850</v>
      </c>
      <c r="U13" s="49">
        <v>411</v>
      </c>
      <c r="V13" s="49">
        <v>1160</v>
      </c>
      <c r="W13" s="49">
        <v>561</v>
      </c>
      <c r="Y13" s="12">
        <f>O13+(Y12*($D$3-580))</f>
        <v>540</v>
      </c>
      <c r="Z13" s="11">
        <f>Y13*1.25</f>
        <v>675</v>
      </c>
      <c r="AA13" s="12">
        <f>Q13+(AA12*($D$3-580))</f>
        <v>588</v>
      </c>
      <c r="AB13" s="11">
        <f>AA13*1.25</f>
        <v>735</v>
      </c>
      <c r="AC13" s="12">
        <f>S13+(AC12*($D$3-580))</f>
        <v>642</v>
      </c>
      <c r="AD13" s="11">
        <f>AC13*1.25</f>
        <v>802.5</v>
      </c>
      <c r="AE13" s="12">
        <f>U13+(AE12*($D$3-580))</f>
        <v>850</v>
      </c>
      <c r="AF13" s="11">
        <f>AE13*1.25</f>
        <v>1062.5</v>
      </c>
      <c r="AG13" s="12">
        <f>W13+(AG12*($D$3-580))</f>
        <v>1160</v>
      </c>
      <c r="AH13" s="11">
        <f>AG13*1.25</f>
        <v>1450</v>
      </c>
      <c r="AI13" s="2">
        <v>30</v>
      </c>
      <c r="AJ13" s="12">
        <f>Y13+AJ12+AL12+AN12+AP12</f>
        <v>561.216</v>
      </c>
      <c r="AK13" s="11">
        <f>AJ13*1.25</f>
        <v>701.52</v>
      </c>
      <c r="AL13" s="12"/>
      <c r="AM13" s="11"/>
      <c r="AN13" s="12"/>
      <c r="AO13" s="11"/>
      <c r="AP13" s="12"/>
      <c r="AQ13" s="11"/>
      <c r="AR13" s="12"/>
      <c r="AS13" s="11"/>
    </row>
    <row r="14" spans="1:45" ht="24" customHeight="1" thickBot="1">
      <c r="A14" s="56" t="s">
        <v>26</v>
      </c>
      <c r="K14" s="75"/>
      <c r="L14" s="77">
        <v>40</v>
      </c>
      <c r="M14" s="50" t="s">
        <v>1</v>
      </c>
      <c r="N14" s="49">
        <v>425</v>
      </c>
      <c r="O14" s="49">
        <v>207</v>
      </c>
      <c r="P14" s="49">
        <v>462</v>
      </c>
      <c r="Q14" s="49">
        <v>225</v>
      </c>
      <c r="R14" s="49">
        <v>504</v>
      </c>
      <c r="S14" s="49">
        <v>246</v>
      </c>
      <c r="T14" s="49">
        <v>666</v>
      </c>
      <c r="U14" s="49">
        <v>324</v>
      </c>
      <c r="V14" s="49">
        <v>906</v>
      </c>
      <c r="W14" s="49">
        <v>441</v>
      </c>
      <c r="Y14" s="53">
        <f>(N15-O15)/170</f>
        <v>1.7647058823529411</v>
      </c>
      <c r="Z14" s="13"/>
      <c r="AA14" s="53">
        <f>(P15-Q15)/170</f>
        <v>1.9176470588235295</v>
      </c>
      <c r="AB14" s="13"/>
      <c r="AC14" s="55">
        <f>(R15-S15)/170</f>
        <v>2.0941176470588236</v>
      </c>
      <c r="AE14" s="54">
        <f>(T15-U15)/170</f>
        <v>2.7705882352941176</v>
      </c>
      <c r="AG14" s="53">
        <f>(V15-W15)/170</f>
        <v>3.7823529411764705</v>
      </c>
      <c r="AH14" s="52"/>
      <c r="AI14" s="2"/>
      <c r="AJ14" s="14">
        <f>IF($D$9&lt;1001,((AA15-Y15)/1000)*$D$9,AA15-Y15)</f>
        <v>22.541999999999998</v>
      </c>
      <c r="AK14" s="17"/>
      <c r="AL14" s="14" t="str">
        <f>IF($D$9&lt;1001,"0",IF(AND($D$9&gt;1000,$D$9&lt;2001),((AC15-AA15)/1000)*($D$9-1000),AC15-AA15))</f>
        <v>0</v>
      </c>
      <c r="AM14" s="17"/>
      <c r="AN14" s="14" t="str">
        <f>IF($D$9&lt;2001,"0",IF(AND($D$9&gt;2000,$D$9&lt;5001),((AE15-AC15)/3000)*($D$9-2000),AE15-AC15))</f>
        <v>0</v>
      </c>
      <c r="AO14" s="17"/>
      <c r="AP14" s="14" t="str">
        <f>IF($D$9&lt;5001,"0",IF(AND($D$9&gt;5000,$D$9&lt;8001),((AG15-AE15)/3000)*($D$9-5000),AG15-AE15))</f>
        <v>0</v>
      </c>
      <c r="AQ14" s="17"/>
      <c r="AR14" s="16"/>
      <c r="AS14" s="13"/>
    </row>
    <row r="15" spans="1:45" ht="24" customHeight="1" thickBot="1">
      <c r="A15" s="45" t="s">
        <v>25</v>
      </c>
      <c r="B15" s="51">
        <f>F5-C12</f>
        <v>-14.5089999999999</v>
      </c>
      <c r="C15" s="43" t="str">
        <f>IF(B15&gt;=0,"Vous pouvez utiliser cette piste en conditions normales.","Vous ne pouvez paz utiliser cette piste")</f>
        <v>Vous ne pouvez paz utiliser cette piste</v>
      </c>
      <c r="D15" s="42"/>
      <c r="E15" s="42"/>
      <c r="F15" s="41"/>
      <c r="G15" s="41"/>
      <c r="H15" s="41"/>
      <c r="I15" s="40"/>
      <c r="K15" s="76"/>
      <c r="L15" s="78"/>
      <c r="M15" s="50" t="s">
        <v>24</v>
      </c>
      <c r="N15" s="49">
        <v>580</v>
      </c>
      <c r="O15" s="49">
        <v>280</v>
      </c>
      <c r="P15" s="49">
        <v>631</v>
      </c>
      <c r="Q15" s="49">
        <v>305</v>
      </c>
      <c r="R15" s="49">
        <v>689</v>
      </c>
      <c r="S15" s="49">
        <v>333</v>
      </c>
      <c r="T15" s="49">
        <v>912</v>
      </c>
      <c r="U15" s="49">
        <v>441</v>
      </c>
      <c r="V15" s="49">
        <v>1245</v>
      </c>
      <c r="W15" s="49">
        <v>602</v>
      </c>
      <c r="Y15" s="12">
        <f>O15+(Y14*($D$3-580))</f>
        <v>580</v>
      </c>
      <c r="Z15" s="11">
        <f>Y15*1.25</f>
        <v>725</v>
      </c>
      <c r="AA15" s="12">
        <f>Q15+(AA14*($D$3-580))</f>
        <v>631</v>
      </c>
      <c r="AB15" s="11">
        <f>AA15*1.25</f>
        <v>788.75</v>
      </c>
      <c r="AC15" s="12">
        <f>S15+(AC14*($D$3-580))</f>
        <v>689</v>
      </c>
      <c r="AD15" s="11">
        <f>AC15*1.25</f>
        <v>861.25</v>
      </c>
      <c r="AE15" s="12">
        <f>U15+(AE14*($D$3-580))</f>
        <v>912</v>
      </c>
      <c r="AF15" s="11">
        <f>AE15*1.25</f>
        <v>1140</v>
      </c>
      <c r="AG15" s="12">
        <f>W15+(AG14*($D$3-580))</f>
        <v>1245</v>
      </c>
      <c r="AH15" s="11">
        <f>AG15*1.25</f>
        <v>1556.25</v>
      </c>
      <c r="AI15" s="2">
        <v>40</v>
      </c>
      <c r="AJ15" s="12">
        <f>Y15+AJ14+AL14+AN14+AP14</f>
        <v>602.542</v>
      </c>
      <c r="AK15" s="11">
        <f>AJ15*1.25</f>
        <v>753.1775</v>
      </c>
      <c r="AL15" s="12"/>
      <c r="AM15" s="11"/>
      <c r="AN15" s="12"/>
      <c r="AO15" s="11"/>
      <c r="AP15" s="12"/>
      <c r="AQ15" s="11"/>
      <c r="AR15" s="12"/>
      <c r="AS15" s="11"/>
    </row>
    <row r="16" spans="2:29" ht="24" customHeight="1" thickBot="1">
      <c r="B16" s="48"/>
      <c r="C16" s="47"/>
      <c r="J16" s="46"/>
      <c r="AA16" s="2"/>
      <c r="AB16" s="2"/>
      <c r="AC16" s="2"/>
    </row>
    <row r="17" spans="1:29" ht="24" customHeight="1" thickBot="1">
      <c r="A17" s="45" t="s">
        <v>23</v>
      </c>
      <c r="B17" s="44">
        <f>H5-E12</f>
        <v>196.26436153846163</v>
      </c>
      <c r="C17" s="43" t="str">
        <f>IF(B17&gt;=0,"Vous pouvez utiliser cette piste en conditions normales.","Vous ne pouvez paz utiliser cette piste")</f>
        <v>Vous pouvez utiliser cette piste en conditions normales.</v>
      </c>
      <c r="D17" s="42"/>
      <c r="E17" s="42"/>
      <c r="F17" s="41"/>
      <c r="G17" s="41"/>
      <c r="H17" s="41"/>
      <c r="I17" s="40"/>
      <c r="K17" s="1" t="s">
        <v>22</v>
      </c>
      <c r="AA17" s="2"/>
      <c r="AB17" s="2"/>
      <c r="AC17" s="2"/>
    </row>
    <row r="18" spans="11:47" ht="24" customHeight="1">
      <c r="K18" s="71" t="s">
        <v>21</v>
      </c>
      <c r="L18" s="71"/>
      <c r="M18" s="72"/>
      <c r="N18" s="79" t="s">
        <v>20</v>
      </c>
      <c r="O18" s="80"/>
      <c r="P18" s="80"/>
      <c r="Q18" s="80"/>
      <c r="R18" s="80"/>
      <c r="S18" s="80"/>
      <c r="T18" s="80"/>
      <c r="U18" s="80"/>
      <c r="V18" s="80"/>
      <c r="W18" s="81"/>
      <c r="Y18" s="3" t="s">
        <v>19</v>
      </c>
      <c r="AD18" s="6">
        <f>D3</f>
        <v>750</v>
      </c>
      <c r="AJ18" s="3" t="s">
        <v>18</v>
      </c>
      <c r="AU18" s="3" t="s">
        <v>17</v>
      </c>
    </row>
    <row r="19" spans="1:53" ht="27.75" customHeight="1">
      <c r="A19" s="93" t="s">
        <v>16</v>
      </c>
      <c r="B19" s="93"/>
      <c r="C19" s="93"/>
      <c r="D19" s="93"/>
      <c r="E19" s="93"/>
      <c r="F19" s="93"/>
      <c r="G19" s="93"/>
      <c r="H19" s="93"/>
      <c r="I19" s="93"/>
      <c r="K19" s="73"/>
      <c r="L19" s="73"/>
      <c r="M19" s="73"/>
      <c r="N19" s="39">
        <v>0</v>
      </c>
      <c r="O19" s="35"/>
      <c r="P19" s="38">
        <v>1000</v>
      </c>
      <c r="Q19" s="36"/>
      <c r="R19" s="37">
        <v>2000</v>
      </c>
      <c r="S19" s="36"/>
      <c r="T19" s="37">
        <v>5000</v>
      </c>
      <c r="U19" s="36"/>
      <c r="V19" s="37">
        <v>8000</v>
      </c>
      <c r="W19" s="36"/>
      <c r="Y19" s="69">
        <v>0</v>
      </c>
      <c r="Z19" s="70"/>
      <c r="AA19" s="69">
        <v>1000</v>
      </c>
      <c r="AB19" s="70"/>
      <c r="AC19" s="69">
        <v>2000</v>
      </c>
      <c r="AD19" s="70"/>
      <c r="AE19" s="69">
        <v>5000</v>
      </c>
      <c r="AF19" s="70"/>
      <c r="AG19" s="69">
        <v>8000</v>
      </c>
      <c r="AH19" s="70"/>
      <c r="AJ19" s="33">
        <f>$D$3</f>
        <v>750</v>
      </c>
      <c r="AK19" s="34" t="s">
        <v>15</v>
      </c>
      <c r="AL19" s="33">
        <f>$D$9</f>
        <v>442</v>
      </c>
      <c r="AM19" s="34" t="s">
        <v>14</v>
      </c>
      <c r="AN19" s="33"/>
      <c r="AO19" s="34"/>
      <c r="AP19" s="33"/>
      <c r="AQ19" s="35"/>
      <c r="AR19" s="33"/>
      <c r="AS19" s="35"/>
      <c r="AU19" s="33">
        <f>$D$3</f>
        <v>750</v>
      </c>
      <c r="AV19" s="34" t="s">
        <v>15</v>
      </c>
      <c r="AW19" s="33">
        <f>$D$9</f>
        <v>442</v>
      </c>
      <c r="AX19" s="32" t="s">
        <v>14</v>
      </c>
      <c r="AY19" s="33">
        <f>$F$7</f>
        <v>15</v>
      </c>
      <c r="AZ19" s="32" t="s">
        <v>13</v>
      </c>
      <c r="BA19" s="31"/>
    </row>
    <row r="20" spans="1:53" ht="27.75" customHeight="1">
      <c r="A20" s="93" t="s">
        <v>12</v>
      </c>
      <c r="B20" s="93"/>
      <c r="C20" s="93"/>
      <c r="D20" s="93"/>
      <c r="E20" s="93"/>
      <c r="F20" s="93"/>
      <c r="G20" s="93"/>
      <c r="H20" s="93"/>
      <c r="I20" s="93"/>
      <c r="K20" s="30"/>
      <c r="L20" s="30"/>
      <c r="M20" s="30"/>
      <c r="N20" s="13" t="s">
        <v>10</v>
      </c>
      <c r="O20" s="13" t="s">
        <v>9</v>
      </c>
      <c r="P20" s="13" t="s">
        <v>10</v>
      </c>
      <c r="Q20" s="13" t="s">
        <v>11</v>
      </c>
      <c r="R20" s="13" t="s">
        <v>10</v>
      </c>
      <c r="S20" s="13" t="s">
        <v>9</v>
      </c>
      <c r="T20" s="13" t="s">
        <v>10</v>
      </c>
      <c r="U20" s="13" t="s">
        <v>11</v>
      </c>
      <c r="V20" s="13" t="s">
        <v>10</v>
      </c>
      <c r="W20" s="13" t="s">
        <v>9</v>
      </c>
      <c r="Y20" s="29" t="s">
        <v>8</v>
      </c>
      <c r="Z20" s="28" t="s">
        <v>7</v>
      </c>
      <c r="AA20" s="29" t="s">
        <v>8</v>
      </c>
      <c r="AB20" s="28" t="s">
        <v>7</v>
      </c>
      <c r="AC20" s="29" t="s">
        <v>8</v>
      </c>
      <c r="AD20" s="28" t="s">
        <v>7</v>
      </c>
      <c r="AE20" s="29" t="s">
        <v>8</v>
      </c>
      <c r="AF20" s="28" t="s">
        <v>7</v>
      </c>
      <c r="AG20" s="29" t="s">
        <v>8</v>
      </c>
      <c r="AH20" s="28" t="s">
        <v>7</v>
      </c>
      <c r="AJ20" s="25" t="s">
        <v>8</v>
      </c>
      <c r="AK20" s="24" t="s">
        <v>7</v>
      </c>
      <c r="AL20" s="25"/>
      <c r="AM20" s="24"/>
      <c r="AN20" s="25"/>
      <c r="AO20" s="24"/>
      <c r="AP20" s="25"/>
      <c r="AQ20" s="24"/>
      <c r="AR20" s="27"/>
      <c r="AS20" s="26"/>
      <c r="AU20" s="25" t="s">
        <v>8</v>
      </c>
      <c r="AV20" s="24" t="s">
        <v>7</v>
      </c>
      <c r="AW20" s="23" t="s">
        <v>6</v>
      </c>
      <c r="AX20" s="22">
        <f>IF($F$7&lt;1,($AJ$24-$AJ$22)/20*($F$7+20),$AJ$24-$AJ$22)</f>
        <v>35.62820512820514</v>
      </c>
      <c r="AY20" s="22">
        <f>IF($F$7&lt;1,"0",IF($F$7&lt;16,($AJ$26-$AJ$24)/15*($F$7),$AJ$26-$AJ$24))</f>
        <v>26.980461538461498</v>
      </c>
      <c r="AZ20" s="22" t="str">
        <f>IF($F$7&lt;16,"0",IF($F$7&lt;31,($AJ$28-$AJ$26)/15*($F$7-15),$AJ$28-$AJ$26))</f>
        <v>0</v>
      </c>
      <c r="BA20" s="22" t="str">
        <f>IF($F$7&lt;31,"0",IF($F$7&lt;41,($AJ$30-$AJ$28)/10*($F$7-30),$AJ$30-$AJ$28))</f>
        <v>0</v>
      </c>
    </row>
    <row r="21" spans="1:53" ht="27.75" customHeight="1">
      <c r="A21" s="94" t="s">
        <v>5</v>
      </c>
      <c r="B21" s="94"/>
      <c r="C21" s="94"/>
      <c r="D21" s="94"/>
      <c r="E21" s="94"/>
      <c r="F21" s="94"/>
      <c r="G21" s="94"/>
      <c r="H21" s="94"/>
      <c r="I21" s="94"/>
      <c r="K21" s="74" t="s">
        <v>4</v>
      </c>
      <c r="L21" s="77">
        <v>-20</v>
      </c>
      <c r="M21" s="15" t="s">
        <v>1</v>
      </c>
      <c r="N21" s="14">
        <v>246</v>
      </c>
      <c r="O21" s="14">
        <v>194</v>
      </c>
      <c r="P21" s="14">
        <v>253</v>
      </c>
      <c r="Q21" s="14">
        <v>200</v>
      </c>
      <c r="R21" s="14">
        <v>261</v>
      </c>
      <c r="S21" s="14">
        <v>206</v>
      </c>
      <c r="T21" s="14">
        <v>289</v>
      </c>
      <c r="U21" s="14">
        <v>227</v>
      </c>
      <c r="V21" s="14">
        <v>322</v>
      </c>
      <c r="W21" s="13">
        <v>254</v>
      </c>
      <c r="Y21" s="18">
        <f>(N22-O22)/156</f>
        <v>0.5961538461538461</v>
      </c>
      <c r="Z21" s="13"/>
      <c r="AA21" s="18">
        <f>(P22-Q22)/156</f>
        <v>0.6153846153846154</v>
      </c>
      <c r="AB21" s="13"/>
      <c r="AC21" s="18">
        <f>(R22-S22)/156</f>
        <v>0.6346153846153846</v>
      </c>
      <c r="AD21" s="13"/>
      <c r="AE21" s="18">
        <f>(T22-U22)/156</f>
        <v>0.6987179487179487</v>
      </c>
      <c r="AF21" s="13"/>
      <c r="AG21" s="18">
        <f>(V22-W22)/156</f>
        <v>0.782051282051282</v>
      </c>
      <c r="AH21" s="13"/>
      <c r="AJ21" s="14">
        <f>IF($D$9&lt;1001,((AA22-Y22)/1000)*$D$9,AA22-Y22)</f>
        <v>6.307000000000027</v>
      </c>
      <c r="AK21" s="17"/>
      <c r="AL21" s="14" t="str">
        <f>IF($D$9&lt;1001,"0",IF(AND($D$9&gt;1000,$D$9&lt;2001),((AC22-AA22)/1000)*($D$9-1000),AC22-AA22))</f>
        <v>0</v>
      </c>
      <c r="AM21" s="17"/>
      <c r="AN21" s="14" t="str">
        <f>IF($D$9&lt;2001,"0",IF(AND($D$9&gt;2000,$D$9&lt;5001),((AE22-AC22)/3000)*($D$9-2000),AE22-AC22))</f>
        <v>0</v>
      </c>
      <c r="AO21" s="17"/>
      <c r="AP21" s="14" t="str">
        <f>IF($D$9&lt;5001,"0",IF(AND($D$9&gt;5000,$D$9&lt;8001),((AG22-AE22)/3000)*($D$9-5000),AG22-AE22))</f>
        <v>0</v>
      </c>
      <c r="AQ21" s="17"/>
      <c r="AR21" s="16"/>
      <c r="AS21" s="13"/>
      <c r="AU21" s="12">
        <f>AJ22+AX20+AY20+AZ20+BA20</f>
        <v>515.2618205128205</v>
      </c>
      <c r="AV21" s="11">
        <f>AU21*0.75</f>
        <v>386.4463653846153</v>
      </c>
      <c r="AW21" s="22"/>
      <c r="AX21" s="22"/>
      <c r="AY21" s="22"/>
      <c r="AZ21" s="22"/>
      <c r="BA21" s="22"/>
    </row>
    <row r="22" spans="1:50" ht="27.75" customHeight="1">
      <c r="A22" s="94" t="s">
        <v>3</v>
      </c>
      <c r="B22" s="94"/>
      <c r="C22" s="94"/>
      <c r="D22" s="94"/>
      <c r="E22" s="94"/>
      <c r="F22" s="94"/>
      <c r="G22" s="94"/>
      <c r="H22" s="94"/>
      <c r="I22" s="94"/>
      <c r="J22" s="19"/>
      <c r="K22" s="75"/>
      <c r="L22" s="78"/>
      <c r="M22" s="15" t="s">
        <v>0</v>
      </c>
      <c r="N22" s="14">
        <v>438</v>
      </c>
      <c r="O22" s="14">
        <v>345</v>
      </c>
      <c r="P22" s="14">
        <v>452</v>
      </c>
      <c r="Q22" s="14">
        <v>356</v>
      </c>
      <c r="R22" s="14">
        <v>466</v>
      </c>
      <c r="S22" s="14">
        <v>367</v>
      </c>
      <c r="T22" s="14">
        <v>514</v>
      </c>
      <c r="U22" s="14">
        <v>405</v>
      </c>
      <c r="V22" s="14">
        <v>574</v>
      </c>
      <c r="W22" s="13">
        <v>452</v>
      </c>
      <c r="Y22" s="12">
        <f>O22+(Y21*($D$3-580))</f>
        <v>446.3461538461538</v>
      </c>
      <c r="Z22" s="11">
        <f>Y22*0.75</f>
        <v>334.75961538461536</v>
      </c>
      <c r="AA22" s="12">
        <f>Q22+(AA21*($D$3-580))</f>
        <v>460.61538461538464</v>
      </c>
      <c r="AB22" s="11">
        <f>AA22*0.75</f>
        <v>345.46153846153845</v>
      </c>
      <c r="AC22" s="12">
        <f>S22+(AC21*($D$3-580))</f>
        <v>474.88461538461536</v>
      </c>
      <c r="AD22" s="11">
        <f>AC22*0.75</f>
        <v>356.16346153846155</v>
      </c>
      <c r="AE22" s="12">
        <f>U22+(AE21*($D$3-580))</f>
        <v>523.7820512820513</v>
      </c>
      <c r="AF22" s="11">
        <f>AE22*0.75</f>
        <v>392.83653846153845</v>
      </c>
      <c r="AG22" s="12">
        <f>W22+(AG21*($D$3-580))</f>
        <v>584.948717948718</v>
      </c>
      <c r="AH22" s="11">
        <f>AG22*0.75</f>
        <v>438.7115384615385</v>
      </c>
      <c r="AJ22" s="12">
        <f>Y22+AJ21+AL21+AN21+AP21</f>
        <v>452.6531538461538</v>
      </c>
      <c r="AK22" s="11">
        <f>AJ22*0.75</f>
        <v>339.48986538461537</v>
      </c>
      <c r="AL22" s="12"/>
      <c r="AM22" s="11"/>
      <c r="AN22" s="12"/>
      <c r="AO22" s="11"/>
      <c r="AP22" s="12"/>
      <c r="AQ22" s="11"/>
      <c r="AR22" s="12"/>
      <c r="AS22" s="11"/>
      <c r="AU22" s="21" t="s">
        <v>2</v>
      </c>
      <c r="AV22" s="6"/>
      <c r="AW22" s="6"/>
      <c r="AX22" s="6"/>
    </row>
    <row r="23" spans="10:55" ht="27" customHeight="1">
      <c r="J23" s="19"/>
      <c r="K23" s="75"/>
      <c r="L23" s="77">
        <v>0</v>
      </c>
      <c r="M23" s="15" t="s">
        <v>1</v>
      </c>
      <c r="N23" s="14">
        <v>265</v>
      </c>
      <c r="O23" s="14">
        <v>209</v>
      </c>
      <c r="P23" s="14">
        <v>273</v>
      </c>
      <c r="Q23" s="14">
        <v>215</v>
      </c>
      <c r="R23" s="14">
        <v>282</v>
      </c>
      <c r="S23" s="14">
        <v>22</v>
      </c>
      <c r="T23" s="14">
        <v>311</v>
      </c>
      <c r="U23" s="14">
        <v>245</v>
      </c>
      <c r="V23" s="14">
        <v>348</v>
      </c>
      <c r="W23" s="13">
        <v>274</v>
      </c>
      <c r="Y23" s="18">
        <f>(N24-O24)/156</f>
        <v>0.6410256410256411</v>
      </c>
      <c r="Z23" s="13"/>
      <c r="AA23" s="18">
        <f>(P24-Q24)/156</f>
        <v>0.6602564102564102</v>
      </c>
      <c r="AB23" s="13"/>
      <c r="AC23" s="18">
        <f>(R24-S24)/156</f>
        <v>0.6858974358974359</v>
      </c>
      <c r="AD23" s="13"/>
      <c r="AE23" s="18">
        <f>(T24-U24)/156</f>
        <v>0.7564102564102564</v>
      </c>
      <c r="AF23" s="13"/>
      <c r="AG23" s="18">
        <f>(V24-W24)/156</f>
        <v>0.8461538461538461</v>
      </c>
      <c r="AH23" s="13"/>
      <c r="AJ23" s="14">
        <f>IF($D$9&lt;1001,((AA24-Y24)/1000)*$D$9,AA24-Y24)</f>
        <v>6.306999999999976</v>
      </c>
      <c r="AK23" s="17"/>
      <c r="AL23" s="14" t="str">
        <f>IF($D$9&lt;1001,"0",IF(AND($D$9&gt;1000,$D$9&lt;2001),((AC24-AA24)/1000)*($D$9-1000),AC24-AA24))</f>
        <v>0</v>
      </c>
      <c r="AM23" s="17"/>
      <c r="AN23" s="14" t="str">
        <f>IF($D$9&lt;2001,"0",IF(AND($D$9&gt;2000,$D$9&lt;5001),((AE24-AC24)/3000)*($D$9-2000),AE24-AC24))</f>
        <v>0</v>
      </c>
      <c r="AO23" s="17"/>
      <c r="AP23" s="14" t="str">
        <f>IF($D$9&lt;5001,"0",IF(AND($D$9&gt;5000,$D$9&lt;8001),((AG24-AE24)/3000)*($D$9-5000),AG24-AE24))</f>
        <v>0</v>
      </c>
      <c r="AQ23" s="17"/>
      <c r="AR23" s="16"/>
      <c r="AS23" s="13"/>
      <c r="AU23" s="12">
        <f>HLOOKUP($H$7,$Z$1:$BH$2,2,0)*AU21</f>
        <v>515.2618205128205</v>
      </c>
      <c r="AV23" s="11">
        <f>AU23*0.75</f>
        <v>386.4463653846153</v>
      </c>
      <c r="AY23" s="6"/>
      <c r="AZ23" s="6"/>
      <c r="BA23" s="6"/>
      <c r="BB23" s="6"/>
      <c r="BC23" s="6"/>
    </row>
    <row r="24" spans="10:54" ht="27" customHeight="1">
      <c r="J24" s="19"/>
      <c r="K24" s="75"/>
      <c r="L24" s="78"/>
      <c r="M24" s="15" t="s">
        <v>0</v>
      </c>
      <c r="N24" s="14">
        <v>473</v>
      </c>
      <c r="O24" s="14">
        <v>373</v>
      </c>
      <c r="P24" s="14">
        <v>487</v>
      </c>
      <c r="Q24" s="14">
        <v>384</v>
      </c>
      <c r="R24" s="14">
        <v>503</v>
      </c>
      <c r="S24" s="14">
        <v>396</v>
      </c>
      <c r="T24" s="14">
        <v>555</v>
      </c>
      <c r="U24" s="14">
        <v>437</v>
      </c>
      <c r="V24" s="14">
        <v>620</v>
      </c>
      <c r="W24" s="13">
        <v>488</v>
      </c>
      <c r="Y24" s="12">
        <f>O24+(Y23*($D$3-580))</f>
        <v>481.974358974359</v>
      </c>
      <c r="Z24" s="11">
        <f>Y24*0.75</f>
        <v>361.4807692307693</v>
      </c>
      <c r="AA24" s="12">
        <f>Q24+(AA23*($D$3-580))</f>
        <v>496.2435897435897</v>
      </c>
      <c r="AB24" s="11">
        <f>AA24*0.75</f>
        <v>372.18269230769226</v>
      </c>
      <c r="AC24" s="12">
        <f>S24+(AC23*($D$3-580))</f>
        <v>512.6025641025641</v>
      </c>
      <c r="AD24" s="11">
        <f>AC24*0.75</f>
        <v>384.4519230769231</v>
      </c>
      <c r="AE24" s="12">
        <f>U24+(AE23*($D$3-580))</f>
        <v>565.5897435897436</v>
      </c>
      <c r="AF24" s="11">
        <f>AE24*0.75</f>
        <v>424.19230769230774</v>
      </c>
      <c r="AG24" s="12">
        <f>W24+(AG23*($D$3-580))</f>
        <v>631.8461538461538</v>
      </c>
      <c r="AH24" s="11">
        <f>AG24*0.75</f>
        <v>473.88461538461536</v>
      </c>
      <c r="AJ24" s="12">
        <f>Y24+AJ23+AL23+AN23+AP23</f>
        <v>488.28135897435897</v>
      </c>
      <c r="AK24" s="11">
        <f>AJ24*0.75</f>
        <v>366.21101923076924</v>
      </c>
      <c r="AL24" s="12"/>
      <c r="AM24" s="11"/>
      <c r="AN24" s="12"/>
      <c r="AO24" s="11"/>
      <c r="AP24" s="12"/>
      <c r="AQ24" s="11"/>
      <c r="AR24" s="12"/>
      <c r="AS24" s="11"/>
      <c r="AW24" s="9"/>
      <c r="AX24" s="20"/>
      <c r="AY24" s="9"/>
      <c r="AZ24" s="9"/>
      <c r="BA24" s="9"/>
      <c r="BB24" s="9"/>
    </row>
    <row r="25" spans="10:53" ht="27" customHeight="1">
      <c r="J25" s="19"/>
      <c r="K25" s="75"/>
      <c r="L25" s="77">
        <v>15</v>
      </c>
      <c r="M25" s="15" t="s">
        <v>1</v>
      </c>
      <c r="N25" s="14">
        <v>280</v>
      </c>
      <c r="O25" s="14">
        <v>221</v>
      </c>
      <c r="P25" s="14">
        <v>288</v>
      </c>
      <c r="Q25" s="14">
        <v>227</v>
      </c>
      <c r="R25" s="14">
        <v>297</v>
      </c>
      <c r="S25" s="14">
        <v>234</v>
      </c>
      <c r="T25" s="14">
        <v>328</v>
      </c>
      <c r="U25" s="14">
        <v>259</v>
      </c>
      <c r="V25" s="14">
        <v>367</v>
      </c>
      <c r="W25" s="13">
        <v>289</v>
      </c>
      <c r="Y25" s="18">
        <f>(N26-O26)/156</f>
        <v>0.6794871794871795</v>
      </c>
      <c r="Z25" s="13"/>
      <c r="AA25" s="18">
        <f>(P26-Q26)/156</f>
        <v>0.6987179487179487</v>
      </c>
      <c r="AB25" s="13"/>
      <c r="AC25" s="18">
        <f>(R26-S26)/156</f>
        <v>0.717948717948718</v>
      </c>
      <c r="AD25" s="13"/>
      <c r="AE25" s="18">
        <f>(T26-U26)/156</f>
        <v>0.7948717948717948</v>
      </c>
      <c r="AF25" s="13"/>
      <c r="AG25" s="18">
        <f>(V26-W26)/156</f>
        <v>0.8910256410256411</v>
      </c>
      <c r="AH25" s="13"/>
      <c r="AJ25" s="14">
        <f>IF($D$9&lt;1001,((AA26-Y26)/1000)*$D$9,AA26-Y26)</f>
        <v>6.749000000000001</v>
      </c>
      <c r="AK25" s="17"/>
      <c r="AL25" s="14" t="str">
        <f>IF($D$9&lt;1001,"0",IF(AND($D$9&gt;1000,$D$9&lt;2001),((AC26-AA26)/1000)*($D$9-1000),AC26-AA26))</f>
        <v>0</v>
      </c>
      <c r="AM25" s="17"/>
      <c r="AN25" s="14" t="str">
        <f>IF($D$9&lt;2001,"0",IF(AND($D$9&gt;2000,$D$9&lt;5001),((AE26-AC26)/3000)*($D$9-2000),AE26-AC26))</f>
        <v>0</v>
      </c>
      <c r="AO25" s="17"/>
      <c r="AP25" s="14" t="str">
        <f>IF($D$9&lt;5001,"0",IF(AND($D$9&gt;5000,$D$9&lt;8001),((AG26-AE26)/3000)*($D$9-5000),AG26-AE26))</f>
        <v>0</v>
      </c>
      <c r="AQ25" s="17"/>
      <c r="AR25" s="16"/>
      <c r="AS25" s="13"/>
      <c r="AW25" s="9"/>
      <c r="AX25" s="20"/>
      <c r="AY25" s="9"/>
      <c r="AZ25" s="9"/>
      <c r="BA25" s="9"/>
    </row>
    <row r="26" spans="10:45" ht="27" customHeight="1">
      <c r="J26" s="19"/>
      <c r="K26" s="75"/>
      <c r="L26" s="78"/>
      <c r="M26" s="15" t="s">
        <v>0</v>
      </c>
      <c r="N26" s="14">
        <v>499</v>
      </c>
      <c r="O26" s="14">
        <v>393</v>
      </c>
      <c r="P26" s="14">
        <v>514</v>
      </c>
      <c r="Q26" s="14">
        <v>405</v>
      </c>
      <c r="R26" s="14">
        <v>530</v>
      </c>
      <c r="S26" s="14">
        <v>418</v>
      </c>
      <c r="T26" s="14">
        <v>585</v>
      </c>
      <c r="U26" s="14">
        <v>461</v>
      </c>
      <c r="V26" s="14">
        <v>654</v>
      </c>
      <c r="W26" s="13">
        <v>515</v>
      </c>
      <c r="Y26" s="12">
        <f>O26+(Y25*($D$3-580))</f>
        <v>508.5128205128205</v>
      </c>
      <c r="Z26" s="11">
        <f>Y26*0.75</f>
        <v>381.38461538461536</v>
      </c>
      <c r="AA26" s="12">
        <f>Q26+(AA25*($D$3-580))</f>
        <v>523.7820512820513</v>
      </c>
      <c r="AB26" s="11">
        <f>AA26*0.75</f>
        <v>392.83653846153845</v>
      </c>
      <c r="AC26" s="12">
        <f>S26+(AC25*($D$3-580))</f>
        <v>540.0512820512821</v>
      </c>
      <c r="AD26" s="11">
        <f>AC26*0.75</f>
        <v>405.03846153846155</v>
      </c>
      <c r="AE26" s="12">
        <f>U26+(AE25*($D$3-580))</f>
        <v>596.1282051282051</v>
      </c>
      <c r="AF26" s="11">
        <f>AE26*0.75</f>
        <v>447.0961538461538</v>
      </c>
      <c r="AG26" s="12">
        <f>W26+(AG25*($D$3-580))</f>
        <v>666.474358974359</v>
      </c>
      <c r="AH26" s="11">
        <f>AG26*0.75</f>
        <v>499.8557692307693</v>
      </c>
      <c r="AJ26" s="12">
        <f>Y26+AJ25+AL25+AN25+AP25</f>
        <v>515.2618205128205</v>
      </c>
      <c r="AK26" s="11">
        <f>AJ26*0.75</f>
        <v>386.4463653846153</v>
      </c>
      <c r="AL26" s="12"/>
      <c r="AM26" s="11"/>
      <c r="AN26" s="12"/>
      <c r="AO26" s="11"/>
      <c r="AP26" s="12"/>
      <c r="AQ26" s="11"/>
      <c r="AR26" s="12"/>
      <c r="AS26" s="11"/>
    </row>
    <row r="27" spans="1:45" ht="27" customHeight="1">
      <c r="A27" s="91"/>
      <c r="B27" s="91"/>
      <c r="C27" s="91"/>
      <c r="D27" s="91"/>
      <c r="E27" s="91"/>
      <c r="F27" s="91"/>
      <c r="G27" s="91"/>
      <c r="H27" s="91"/>
      <c r="I27" s="91"/>
      <c r="J27" s="19"/>
      <c r="K27" s="75"/>
      <c r="L27" s="77">
        <v>30</v>
      </c>
      <c r="M27" s="15" t="s">
        <v>1</v>
      </c>
      <c r="N27" s="14">
        <v>294</v>
      </c>
      <c r="O27" s="14">
        <v>232</v>
      </c>
      <c r="P27" s="14">
        <v>303</v>
      </c>
      <c r="Q27" s="14">
        <v>239</v>
      </c>
      <c r="R27" s="14">
        <v>313</v>
      </c>
      <c r="S27" s="14">
        <v>247</v>
      </c>
      <c r="T27" s="14">
        <v>346</v>
      </c>
      <c r="U27" s="14">
        <v>272</v>
      </c>
      <c r="V27" s="14">
        <v>386</v>
      </c>
      <c r="W27" s="13">
        <v>304</v>
      </c>
      <c r="Y27" s="18">
        <f>(N28-O28)/156</f>
        <v>0.7115384615384616</v>
      </c>
      <c r="Z27" s="13"/>
      <c r="AA27" s="18">
        <f>(P28-Q28)/156</f>
        <v>0.7371794871794872</v>
      </c>
      <c r="AB27" s="13"/>
      <c r="AC27" s="18">
        <f>(R28-S28)/156</f>
        <v>0.7564102564102564</v>
      </c>
      <c r="AD27" s="13"/>
      <c r="AE27" s="18">
        <f>(T28-U28)/156</f>
        <v>0.8397435897435898</v>
      </c>
      <c r="AF27" s="13"/>
      <c r="AG27" s="18">
        <f>(V28-W28)/156</f>
        <v>0.9358974358974359</v>
      </c>
      <c r="AH27" s="13"/>
      <c r="AJ27" s="14">
        <f>IF($D$9&lt;1001,((AA28-Y28)/1000)*$D$9,AA28-Y28)</f>
        <v>7.23066666666667</v>
      </c>
      <c r="AK27" s="17"/>
      <c r="AL27" s="14" t="str">
        <f>IF($D$9&lt;1001,"0",IF(AND($D$9&gt;1000,$D$9&lt;2001),((AC28-AA28)/1000)*($D$9-1000),AC28-AA28))</f>
        <v>0</v>
      </c>
      <c r="AM27" s="17"/>
      <c r="AN27" s="14" t="str">
        <f>IF($D$9&lt;2001,"0",IF(AND($D$9&gt;2000,$D$9&lt;5001),((AE28-AC28)/3000)*($D$9-2000),AE28-AC28))</f>
        <v>0</v>
      </c>
      <c r="AO27" s="17"/>
      <c r="AP27" s="14" t="str">
        <f>IF($D$9&lt;5001,"0",IF(AND($D$9&gt;5000,$D$9&lt;8001),((AG28-AE28)/3000)*($D$9-5000),AG28-AE28))</f>
        <v>0</v>
      </c>
      <c r="AQ27" s="17"/>
      <c r="AR27" s="16"/>
      <c r="AS27" s="13"/>
    </row>
    <row r="28" spans="1:45" ht="24.75" customHeight="1">
      <c r="A28" s="92"/>
      <c r="B28" s="92"/>
      <c r="C28" s="92"/>
      <c r="D28" s="92"/>
      <c r="E28" s="92"/>
      <c r="F28" s="92"/>
      <c r="G28" s="92"/>
      <c r="H28" s="92"/>
      <c r="I28" s="92"/>
      <c r="J28" s="19"/>
      <c r="K28" s="75"/>
      <c r="L28" s="78"/>
      <c r="M28" s="15" t="s">
        <v>0</v>
      </c>
      <c r="N28" s="14">
        <v>525</v>
      </c>
      <c r="O28" s="14">
        <v>414</v>
      </c>
      <c r="P28" s="14">
        <v>541</v>
      </c>
      <c r="Q28" s="14">
        <v>426</v>
      </c>
      <c r="R28" s="14">
        <v>558</v>
      </c>
      <c r="S28" s="14">
        <v>440</v>
      </c>
      <c r="T28" s="14">
        <v>616</v>
      </c>
      <c r="U28" s="14">
        <v>485</v>
      </c>
      <c r="V28" s="14">
        <v>688</v>
      </c>
      <c r="W28" s="13">
        <v>542</v>
      </c>
      <c r="Y28" s="12">
        <f>O28+(Y27*($D$3-580))</f>
        <v>534.9615384615385</v>
      </c>
      <c r="Z28" s="11">
        <f>Y28*0.75</f>
        <v>401.2211538461538</v>
      </c>
      <c r="AA28" s="12">
        <f>Q28+(AA27*($D$3-580))</f>
        <v>551.3205128205128</v>
      </c>
      <c r="AB28" s="11">
        <f>AA28*0.75</f>
        <v>413.49038461538464</v>
      </c>
      <c r="AC28" s="12">
        <f>S28+(AC27*($D$3-580))</f>
        <v>568.5897435897436</v>
      </c>
      <c r="AD28" s="11">
        <f>AC28*0.75</f>
        <v>426.44230769230774</v>
      </c>
      <c r="AE28" s="12">
        <f>U28+(AE27*($D$3-580))</f>
        <v>627.7564102564103</v>
      </c>
      <c r="AF28" s="11">
        <f>AE28*0.75</f>
        <v>470.81730769230774</v>
      </c>
      <c r="AG28" s="12">
        <f>W28+(AG27*($D$3-580))</f>
        <v>701.1025641025641</v>
      </c>
      <c r="AH28" s="11">
        <f>AG28*0.75</f>
        <v>525.8269230769231</v>
      </c>
      <c r="AJ28" s="12">
        <f>Y28+AJ27+AL27+AN27+AP27</f>
        <v>542.1922051282052</v>
      </c>
      <c r="AK28" s="11">
        <f>AJ28*0.75</f>
        <v>406.64415384615387</v>
      </c>
      <c r="AL28" s="12"/>
      <c r="AM28" s="11"/>
      <c r="AN28" s="12"/>
      <c r="AO28" s="11"/>
      <c r="AP28" s="12"/>
      <c r="AQ28" s="11"/>
      <c r="AR28" s="12"/>
      <c r="AS28" s="11"/>
    </row>
    <row r="29" spans="2:45" ht="24.75" customHeight="1">
      <c r="B29" s="1"/>
      <c r="D29" s="1"/>
      <c r="F29" s="1"/>
      <c r="G29" s="1"/>
      <c r="H29" s="1"/>
      <c r="K29" s="75"/>
      <c r="L29" s="77">
        <v>40</v>
      </c>
      <c r="M29" s="15" t="s">
        <v>1</v>
      </c>
      <c r="N29" s="14">
        <v>304</v>
      </c>
      <c r="O29" s="14">
        <v>240</v>
      </c>
      <c r="P29" s="14">
        <v>313</v>
      </c>
      <c r="Q29" s="14">
        <v>247</v>
      </c>
      <c r="R29" s="14">
        <v>323</v>
      </c>
      <c r="S29" s="14">
        <v>255</v>
      </c>
      <c r="T29" s="14">
        <v>357</v>
      </c>
      <c r="U29" s="14">
        <v>281</v>
      </c>
      <c r="V29" s="14">
        <v>399</v>
      </c>
      <c r="W29" s="13">
        <v>314</v>
      </c>
      <c r="Y29" s="18">
        <f>(N30-O30)/156</f>
        <v>0.7371794871794872</v>
      </c>
      <c r="Z29" s="13"/>
      <c r="AA29" s="18">
        <f>(P30-Q30)/156</f>
        <v>0.7628205128205128</v>
      </c>
      <c r="AB29" s="13"/>
      <c r="AC29" s="18">
        <f>(R30-S30)/156</f>
        <v>0.782051282051282</v>
      </c>
      <c r="AD29" s="13"/>
      <c r="AE29" s="18">
        <f>(T30-U30)/156</f>
        <v>0.8653846153846154</v>
      </c>
      <c r="AF29" s="13"/>
      <c r="AG29" s="18">
        <f>(V30-W30)/156</f>
        <v>0.9615384615384616</v>
      </c>
      <c r="AH29" s="13"/>
      <c r="AJ29" s="14">
        <f>IF($D$9&lt;1001,((AA30-Y30)/1000)*$D$9,AA30-Y30)</f>
        <v>7.672666666666669</v>
      </c>
      <c r="AK29" s="17"/>
      <c r="AL29" s="14" t="str">
        <f>IF($D$9&lt;1001,"0",IF(AND($D$9&gt;1000,$D$9&lt;2001),((AC30-AA30)/1000)*($D$9-1000),AC30-AA30))</f>
        <v>0</v>
      </c>
      <c r="AM29" s="17"/>
      <c r="AN29" s="14" t="str">
        <f>IF($D$9&lt;2001,"0",IF(AND($D$9&gt;2000,$D$9&lt;5001),((AE30-AC30)/3000)*($D$9-2000),AE30-AC30))</f>
        <v>0</v>
      </c>
      <c r="AO29" s="17"/>
      <c r="AP29" s="14" t="str">
        <f>IF($D$9&lt;5001,"0",IF(AND($D$9&gt;5000,$D$9&lt;8001),((AG30-AE30)/3000)*($D$9-5000),AG30-AE30))</f>
        <v>0</v>
      </c>
      <c r="AQ29" s="17"/>
      <c r="AR29" s="16"/>
      <c r="AS29" s="13"/>
    </row>
    <row r="30" spans="2:45" ht="24.75" customHeight="1">
      <c r="B30" s="1"/>
      <c r="D30" s="1"/>
      <c r="F30" s="1"/>
      <c r="G30" s="1"/>
      <c r="H30" s="1"/>
      <c r="K30" s="76"/>
      <c r="L30" s="78"/>
      <c r="M30" s="15" t="s">
        <v>0</v>
      </c>
      <c r="N30" s="14">
        <v>542</v>
      </c>
      <c r="O30" s="14">
        <v>427</v>
      </c>
      <c r="P30" s="14">
        <v>559</v>
      </c>
      <c r="Q30" s="14">
        <v>440</v>
      </c>
      <c r="R30" s="14">
        <v>576</v>
      </c>
      <c r="S30" s="14">
        <v>454</v>
      </c>
      <c r="T30" s="14">
        <v>636</v>
      </c>
      <c r="U30" s="14">
        <v>501</v>
      </c>
      <c r="V30" s="14">
        <v>710</v>
      </c>
      <c r="W30" s="13">
        <v>560</v>
      </c>
      <c r="Y30" s="12">
        <f>O30+(Y29*($D$3-580))</f>
        <v>552.3205128205128</v>
      </c>
      <c r="Z30" s="11">
        <f>Y30*0.75</f>
        <v>414.24038461538464</v>
      </c>
      <c r="AA30" s="12">
        <f>Q30+(AA29*($D$3-580))</f>
        <v>569.6794871794872</v>
      </c>
      <c r="AB30" s="11">
        <f>AA30*0.75</f>
        <v>427.25961538461536</v>
      </c>
      <c r="AC30" s="12">
        <f>S30+(AC29*($D$3-580))</f>
        <v>586.948717948718</v>
      </c>
      <c r="AD30" s="11">
        <f>AC30*0.75</f>
        <v>440.2115384615385</v>
      </c>
      <c r="AE30" s="12">
        <f>U30+(AE29*($D$3-580))</f>
        <v>648.1153846153846</v>
      </c>
      <c r="AF30" s="11">
        <f>AE30*0.75</f>
        <v>486.08653846153845</v>
      </c>
      <c r="AG30" s="12">
        <f>W30+(AG29*($D$3-580))</f>
        <v>723.4615384615385</v>
      </c>
      <c r="AH30" s="11">
        <f>AG30*0.75</f>
        <v>542.5961538461538</v>
      </c>
      <c r="AJ30" s="12">
        <f>Y30+AJ29+AL29+AN29+AP29</f>
        <v>559.9931794871795</v>
      </c>
      <c r="AK30" s="11">
        <f>AJ30*0.75</f>
        <v>419.99488461538465</v>
      </c>
      <c r="AL30" s="12"/>
      <c r="AM30" s="11"/>
      <c r="AN30" s="12"/>
      <c r="AO30" s="11"/>
      <c r="AP30" s="12"/>
      <c r="AQ30" s="11"/>
      <c r="AR30" s="12"/>
      <c r="AS30" s="11"/>
    </row>
    <row r="31" spans="2:13" ht="24.75" customHeight="1">
      <c r="B31" s="1"/>
      <c r="D31" s="1"/>
      <c r="F31" s="1"/>
      <c r="G31" s="1"/>
      <c r="H31" s="1"/>
      <c r="M31" s="4"/>
    </row>
    <row r="32" spans="1:25" ht="24.75" customHeight="1">
      <c r="A32" s="10"/>
      <c r="B32" s="7"/>
      <c r="D32" s="8"/>
      <c r="E32" s="7"/>
      <c r="F32" s="8"/>
      <c r="G32" s="8"/>
      <c r="H32" s="8"/>
      <c r="I32" s="7"/>
      <c r="M32" s="4"/>
      <c r="Y32" s="9"/>
    </row>
    <row r="33" spans="2:13" ht="24.75" customHeight="1">
      <c r="B33" s="8"/>
      <c r="C33" s="7"/>
      <c r="D33" s="8"/>
      <c r="E33" s="7"/>
      <c r="F33" s="8"/>
      <c r="G33" s="8"/>
      <c r="H33" s="8"/>
      <c r="I33" s="7"/>
      <c r="M33" s="4"/>
    </row>
    <row r="34" ht="24.75" customHeight="1">
      <c r="M34" s="4"/>
    </row>
    <row r="35" ht="24.75" customHeight="1">
      <c r="M35" s="4"/>
    </row>
    <row r="36" ht="24.75" customHeight="1">
      <c r="M36" s="4"/>
    </row>
    <row r="37" spans="13:37" ht="24.75" customHeight="1">
      <c r="M37" s="4"/>
      <c r="AI37" s="6"/>
      <c r="AJ37" s="6"/>
      <c r="AK37" s="6"/>
    </row>
    <row r="38" spans="13:37" ht="24.75" customHeight="1">
      <c r="M38" s="4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13:37" ht="24.75" customHeight="1">
      <c r="M39" s="4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3:37" ht="24.75" customHeight="1">
      <c r="M40" s="4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3:37" ht="24.75" customHeight="1">
      <c r="M41" s="4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3:37" ht="24.75" customHeight="1">
      <c r="M42" s="4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3:37" ht="24.75" customHeight="1">
      <c r="M43" s="4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13:37" ht="24.75" customHeight="1">
      <c r="M44" s="4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ht="24.75" customHeight="1">
      <c r="M45" s="4"/>
    </row>
    <row r="46" ht="24.75" customHeight="1">
      <c r="M46" s="4"/>
    </row>
    <row r="47" ht="24.75" customHeight="1">
      <c r="M47" s="4"/>
    </row>
    <row r="48" ht="24.75" customHeight="1">
      <c r="M48" s="4"/>
    </row>
    <row r="49" ht="24.75" customHeight="1">
      <c r="M49" s="4"/>
    </row>
    <row r="50" ht="24.75" customHeight="1">
      <c r="M50" s="4"/>
    </row>
    <row r="51" ht="24.75" customHeight="1">
      <c r="M51" s="4"/>
    </row>
    <row r="52" ht="24.75" customHeight="1">
      <c r="M52" s="4"/>
    </row>
    <row r="53" ht="24.75" customHeight="1">
      <c r="M53" s="4"/>
    </row>
    <row r="54" ht="24.75" customHeight="1">
      <c r="M54" s="4"/>
    </row>
    <row r="55" ht="24.75" customHeight="1">
      <c r="M55" s="4"/>
    </row>
    <row r="56" ht="24.75" customHeight="1">
      <c r="M56" s="4"/>
    </row>
    <row r="57" ht="24.75" customHeight="1">
      <c r="M57" s="4"/>
    </row>
    <row r="58" ht="24.75" customHeight="1">
      <c r="M58" s="4"/>
    </row>
    <row r="59" ht="24.75" customHeight="1">
      <c r="M59" s="4"/>
    </row>
    <row r="60" ht="24.75" customHeight="1">
      <c r="M60" s="4"/>
    </row>
    <row r="61" ht="24.75" customHeight="1">
      <c r="M61" s="4"/>
    </row>
    <row r="62" spans="13:26" ht="24.75" customHeight="1">
      <c r="M62" s="4"/>
      <c r="Y62" s="2"/>
      <c r="Z62" s="1"/>
    </row>
    <row r="63" spans="13:26" ht="24.75" customHeight="1">
      <c r="M63" s="4"/>
      <c r="Y63" s="2"/>
      <c r="Z63" s="1"/>
    </row>
    <row r="64" spans="13:26" ht="24.75" customHeight="1">
      <c r="M64" s="4"/>
      <c r="Y64" s="2"/>
      <c r="Z64" s="1"/>
    </row>
    <row r="65" spans="13:26" ht="24.75" customHeight="1">
      <c r="M65" s="4"/>
      <c r="Y65" s="2"/>
      <c r="Z65" s="1"/>
    </row>
    <row r="66" spans="13:26" ht="24.75" customHeight="1">
      <c r="M66" s="4"/>
      <c r="Y66" s="2"/>
      <c r="Z66" s="1"/>
    </row>
    <row r="67" spans="13:26" ht="24.75" customHeight="1">
      <c r="M67" s="4"/>
      <c r="Y67" s="2"/>
      <c r="Z67" s="1"/>
    </row>
    <row r="68" spans="13:26" ht="24.75" customHeight="1">
      <c r="M68" s="4"/>
      <c r="Y68" s="2"/>
      <c r="Z68" s="1"/>
    </row>
    <row r="69" spans="13:25" ht="24.75" customHeight="1">
      <c r="M69" s="4"/>
      <c r="Y69" s="2"/>
    </row>
    <row r="70" ht="24.75" customHeight="1">
      <c r="M70" s="4"/>
    </row>
    <row r="71" ht="24.75" customHeight="1">
      <c r="M71" s="4"/>
    </row>
    <row r="72" ht="24.75" customHeight="1">
      <c r="M72" s="4"/>
    </row>
    <row r="73" ht="24.75" customHeight="1">
      <c r="M73" s="4"/>
    </row>
    <row r="74" ht="24.75" customHeight="1">
      <c r="M74" s="4"/>
    </row>
    <row r="75" ht="24.75" customHeight="1">
      <c r="M75" s="4"/>
    </row>
    <row r="76" ht="24.75" customHeight="1">
      <c r="M76" s="4"/>
    </row>
    <row r="77" ht="24.75" customHeight="1">
      <c r="M77" s="4"/>
    </row>
    <row r="78" ht="24.75" customHeight="1">
      <c r="M78" s="4"/>
    </row>
    <row r="79" ht="24.75" customHeight="1">
      <c r="M79" s="4"/>
    </row>
    <row r="80" ht="24.75" customHeight="1">
      <c r="M80" s="4"/>
    </row>
    <row r="81" ht="24.75" customHeight="1">
      <c r="M81" s="4"/>
    </row>
    <row r="82" spans="13:39" ht="24.75" customHeight="1">
      <c r="M82" s="4"/>
      <c r="AC82" s="3"/>
      <c r="AD82" s="3"/>
      <c r="AE82" s="3"/>
      <c r="AF82" s="3"/>
      <c r="AG82" s="3"/>
      <c r="AH82" s="3"/>
      <c r="AI82" s="2"/>
      <c r="AJ82" s="2"/>
      <c r="AK82" s="2"/>
      <c r="AL82" s="2"/>
      <c r="AM82" s="2"/>
    </row>
    <row r="83" spans="13:39" ht="24.75" customHeight="1">
      <c r="M83" s="4"/>
      <c r="AC83" s="3"/>
      <c r="AD83" s="3"/>
      <c r="AE83" s="3"/>
      <c r="AF83" s="3"/>
      <c r="AG83" s="3"/>
      <c r="AH83" s="3"/>
      <c r="AI83" s="2"/>
      <c r="AJ83" s="2"/>
      <c r="AK83" s="2"/>
      <c r="AL83" s="2"/>
      <c r="AM83" s="2"/>
    </row>
    <row r="84" spans="13:39" ht="24.75" customHeight="1">
      <c r="M84" s="4"/>
      <c r="AC84" s="3"/>
      <c r="AD84" s="3"/>
      <c r="AE84" s="3"/>
      <c r="AF84" s="3"/>
      <c r="AG84" s="3"/>
      <c r="AH84" s="3"/>
      <c r="AI84" s="2"/>
      <c r="AJ84" s="2"/>
      <c r="AK84" s="2"/>
      <c r="AL84" s="2"/>
      <c r="AM84" s="2"/>
    </row>
    <row r="85" spans="13:44" ht="24.75" customHeight="1">
      <c r="M85" s="4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13:39" ht="24.75" customHeight="1">
      <c r="M86" s="4"/>
      <c r="AC86" s="3"/>
      <c r="AD86" s="3"/>
      <c r="AE86" s="3"/>
      <c r="AF86" s="3"/>
      <c r="AG86" s="3"/>
      <c r="AH86" s="3"/>
      <c r="AI86" s="2"/>
      <c r="AJ86" s="2"/>
      <c r="AK86" s="2"/>
      <c r="AL86" s="2"/>
      <c r="AM86" s="2"/>
    </row>
    <row r="87" ht="24.75" customHeight="1">
      <c r="M87" s="4"/>
    </row>
    <row r="88" spans="13:39" ht="24.75" customHeight="1">
      <c r="M88" s="4"/>
      <c r="AC88" s="3"/>
      <c r="AD88" s="3"/>
      <c r="AE88" s="3"/>
      <c r="AF88" s="3"/>
      <c r="AG88" s="5"/>
      <c r="AH88" s="3"/>
      <c r="AI88" s="3"/>
      <c r="AJ88" s="3"/>
      <c r="AK88" s="2"/>
      <c r="AM88" s="2"/>
    </row>
    <row r="89" spans="13:39" ht="24.75" customHeight="1">
      <c r="M89" s="4"/>
      <c r="AC89" s="3"/>
      <c r="AD89" s="3"/>
      <c r="AE89" s="3"/>
      <c r="AF89" s="3"/>
      <c r="AG89" s="3"/>
      <c r="AH89" s="3"/>
      <c r="AI89" s="3"/>
      <c r="AJ89" s="3"/>
      <c r="AK89" s="2"/>
      <c r="AL89" s="2"/>
      <c r="AM89" s="2"/>
    </row>
    <row r="90" spans="13:39" ht="24.75" customHeight="1">
      <c r="M90" s="4"/>
      <c r="AC90" s="3"/>
      <c r="AD90" s="3"/>
      <c r="AE90" s="3"/>
      <c r="AF90" s="3"/>
      <c r="AG90" s="3"/>
      <c r="AH90" s="3"/>
      <c r="AI90" s="3"/>
      <c r="AJ90" s="3"/>
      <c r="AK90" s="2"/>
      <c r="AL90" s="2"/>
      <c r="AM90" s="2"/>
    </row>
    <row r="91" spans="13:39" ht="24.75" customHeight="1">
      <c r="M91" s="4"/>
      <c r="AC91" s="3"/>
      <c r="AD91" s="3"/>
      <c r="AE91" s="3"/>
      <c r="AF91" s="3"/>
      <c r="AG91" s="3"/>
      <c r="AH91" s="3"/>
      <c r="AI91" s="3"/>
      <c r="AJ91" s="3"/>
      <c r="AK91" s="2"/>
      <c r="AL91" s="2"/>
      <c r="AM91" s="2"/>
    </row>
    <row r="92" spans="13:39" ht="24.75" customHeight="1">
      <c r="M92" s="4"/>
      <c r="AC92" s="3"/>
      <c r="AD92" s="3"/>
      <c r="AE92" s="3"/>
      <c r="AF92" s="3"/>
      <c r="AG92" s="3"/>
      <c r="AH92" s="3"/>
      <c r="AI92" s="3"/>
      <c r="AJ92" s="3"/>
      <c r="AK92" s="2"/>
      <c r="AL92" s="2"/>
      <c r="AM92" s="2"/>
    </row>
    <row r="93" spans="13:39" ht="24.75" customHeight="1">
      <c r="M93" s="4"/>
      <c r="AC93" s="3"/>
      <c r="AD93" s="3"/>
      <c r="AE93" s="3"/>
      <c r="AF93" s="3"/>
      <c r="AG93" s="3"/>
      <c r="AH93" s="3"/>
      <c r="AI93" s="3"/>
      <c r="AJ93" s="3"/>
      <c r="AK93" s="2"/>
      <c r="AL93" s="2"/>
      <c r="AM93" s="2"/>
    </row>
    <row r="94" spans="13:39" ht="24.75" customHeight="1">
      <c r="M94" s="4"/>
      <c r="AC94" s="3"/>
      <c r="AD94" s="3"/>
      <c r="AE94" s="3"/>
      <c r="AF94" s="3"/>
      <c r="AG94" s="3"/>
      <c r="AH94" s="3"/>
      <c r="AI94" s="3"/>
      <c r="AJ94" s="3"/>
      <c r="AK94" s="2"/>
      <c r="AL94" s="2"/>
      <c r="AM94" s="2"/>
    </row>
    <row r="95" spans="14:39" ht="24.75" customHeight="1">
      <c r="N95" s="3"/>
      <c r="O95" s="3"/>
      <c r="P95" s="3"/>
      <c r="Q95" s="3"/>
      <c r="R95" s="3"/>
      <c r="S95" s="3"/>
      <c r="AC95" s="3"/>
      <c r="AD95" s="3"/>
      <c r="AE95" s="3"/>
      <c r="AF95" s="3"/>
      <c r="AG95" s="3"/>
      <c r="AH95" s="3"/>
      <c r="AI95" s="3"/>
      <c r="AJ95" s="3"/>
      <c r="AK95" s="2"/>
      <c r="AL95" s="2"/>
      <c r="AM95" s="2"/>
    </row>
    <row r="96" spans="29:39" ht="24.75" customHeight="1">
      <c r="AC96" s="3"/>
      <c r="AD96" s="3"/>
      <c r="AE96" s="3"/>
      <c r="AF96" s="3"/>
      <c r="AG96" s="3"/>
      <c r="AH96" s="3"/>
      <c r="AI96" s="3"/>
      <c r="AJ96" s="3"/>
      <c r="AK96" s="2"/>
      <c r="AL96" s="2"/>
      <c r="AM96" s="2"/>
    </row>
  </sheetData>
  <sheetProtection password="C959" sheet="1" selectLockedCells="1"/>
  <mergeCells count="38">
    <mergeCell ref="K3:M4"/>
    <mergeCell ref="K6:K15"/>
    <mergeCell ref="L6:L7"/>
    <mergeCell ref="L8:L9"/>
    <mergeCell ref="L10:L11"/>
    <mergeCell ref="L12:L13"/>
    <mergeCell ref="L14:L15"/>
    <mergeCell ref="A1:I1"/>
    <mergeCell ref="A27:I27"/>
    <mergeCell ref="A28:I28"/>
    <mergeCell ref="A19:I19"/>
    <mergeCell ref="A20:I20"/>
    <mergeCell ref="A21:I21"/>
    <mergeCell ref="A22:I22"/>
    <mergeCell ref="N3:W3"/>
    <mergeCell ref="N4:O4"/>
    <mergeCell ref="P4:Q4"/>
    <mergeCell ref="R4:S4"/>
    <mergeCell ref="T4:U4"/>
    <mergeCell ref="V4:W4"/>
    <mergeCell ref="AA19:AB19"/>
    <mergeCell ref="AC19:AD19"/>
    <mergeCell ref="AE19:AF19"/>
    <mergeCell ref="AG4:AH4"/>
    <mergeCell ref="Y4:Z4"/>
    <mergeCell ref="AA4:AB4"/>
    <mergeCell ref="AC4:AD4"/>
    <mergeCell ref="AE4:AF4"/>
    <mergeCell ref="AG19:AH19"/>
    <mergeCell ref="K18:M19"/>
    <mergeCell ref="K21:K30"/>
    <mergeCell ref="L21:L22"/>
    <mergeCell ref="L23:L24"/>
    <mergeCell ref="L25:L26"/>
    <mergeCell ref="L27:L28"/>
    <mergeCell ref="L29:L30"/>
    <mergeCell ref="N18:W18"/>
    <mergeCell ref="Y19:Z19"/>
  </mergeCells>
  <conditionalFormatting sqref="B15 B17">
    <cfRule type="cellIs" priority="10" dxfId="0" operator="lessThan" stopIfTrue="1">
      <formula>0</formula>
    </cfRule>
    <cfRule type="cellIs" priority="11" dxfId="1" operator="greaterThanOrEqual" stopIfTrue="1">
      <formula>0</formula>
    </cfRule>
  </conditionalFormatting>
  <conditionalFormatting sqref="D3">
    <cfRule type="cellIs" priority="9" dxfId="0" operator="notBetween" stopIfTrue="1">
      <formula>750</formula>
      <formula>500</formula>
    </cfRule>
  </conditionalFormatting>
  <conditionalFormatting sqref="B12">
    <cfRule type="cellIs" priority="2" dxfId="0" operator="greaterThan" stopIfTrue="1">
      <formula>$F$5</formula>
    </cfRule>
    <cfRule type="cellIs" priority="8" dxfId="1" operator="lessThanOrEqual" stopIfTrue="1">
      <formula>$F$5</formula>
    </cfRule>
  </conditionalFormatting>
  <conditionalFormatting sqref="C12">
    <cfRule type="cellIs" priority="1" dxfId="1" operator="lessThanOrEqual" stopIfTrue="1">
      <formula>$F$5</formula>
    </cfRule>
    <cfRule type="cellIs" priority="7" dxfId="0" operator="greaterThan" stopIfTrue="1">
      <formula>$F$5</formula>
    </cfRule>
  </conditionalFormatting>
  <conditionalFormatting sqref="D12">
    <cfRule type="cellIs" priority="3" dxfId="0" operator="greaterThan" stopIfTrue="1">
      <formula>$H$5</formula>
    </cfRule>
    <cfRule type="cellIs" priority="6" dxfId="1" operator="lessThanOrEqual" stopIfTrue="1">
      <formula>$H$5</formula>
    </cfRule>
  </conditionalFormatting>
  <conditionalFormatting sqref="E12">
    <cfRule type="cellIs" priority="4" dxfId="1" operator="lessThanOrEqual" stopIfTrue="1">
      <formula>$H$5</formula>
    </cfRule>
    <cfRule type="cellIs" priority="5" dxfId="0" operator="greaterThan" stopIfTrue="1">
      <formula>$H$5</formula>
    </cfRule>
  </conditionalFormatting>
  <dataValidations count="4">
    <dataValidation type="whole" allowBlank="1" showInputMessage="1" showErrorMessage="1" prompt="Mini 950 et Max 1050" error="Mini 950 et Max 1050" sqref="B7">
      <formula1>950</formula1>
      <formula2>1050</formula2>
    </dataValidation>
    <dataValidation type="whole" showInputMessage="1" showErrorMessage="1" prompt="Masse maxi DEC   750 kg&#10;Masse maxi ATT    736 kg&#10;Masse mini            540 kg" error="Masse maxi DEC     750 kg&#10;Masse maxi ATT     736 kg&#10;Masse mini 540 kg" sqref="D3">
      <formula1>540</formula1>
      <formula2>750</formula2>
    </dataValidation>
    <dataValidation errorStyle="information" type="list" showInputMessage="1" showErrorMessage="1" error="Herbe ou Béton dans liste déroulante" sqref="D5">
      <formula1>"Herbe,Béton"</formula1>
    </dataValidation>
    <dataValidation errorStyle="information" type="custom" allowBlank="1" showInputMessage="1" showErrorMessage="1" sqref="C15:C17">
      <formula1>B15&gt;0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CHRISTIAN</cp:lastModifiedBy>
  <dcterms:created xsi:type="dcterms:W3CDTF">2023-03-18T07:47:29Z</dcterms:created>
  <dcterms:modified xsi:type="dcterms:W3CDTF">2023-03-23T08:25:21Z</dcterms:modified>
  <cp:category/>
  <cp:version/>
  <cp:contentType/>
  <cp:contentStatus/>
</cp:coreProperties>
</file>